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28815" yWindow="30" windowWidth="28530" windowHeight="12720" tabRatio="732" activeTab="3"/>
  </bookViews>
  <sheets>
    <sheet name="Your Estimation" sheetId="4" r:id="rId1"/>
    <sheet name="Links to Statistics" sheetId="9" r:id="rId2"/>
    <sheet name="Result of your Estimation" sheetId="12" r:id="rId3"/>
    <sheet name="Short Version Realistic" sheetId="14" r:id="rId4"/>
    <sheet name="Realistic" sheetId="1" r:id="rId5"/>
    <sheet name="Comparision successful Networks" sheetId="3" r:id="rId6"/>
    <sheet name="Cautious" sheetId="11" r:id="rId7"/>
    <sheet name="Optimistic" sheetId="7" r:id="rId8"/>
    <sheet name="Pessimistic" sheetId="5" r:id="rId9"/>
    <sheet name="Worst Case" sheetId="8" r:id="rId10"/>
    <sheet name="Possible+" sheetId="13" r:id="rId11"/>
  </sheets>
  <externalReferences>
    <externalReference r:id="rId12"/>
  </externalReferences>
  <calcPr calcId="144525"/>
  <customWorkbookViews>
    <customWorkbookView name="Michael Schöggl - Persönliche Ansicht" guid="{09E562D2-D560-4B45-A29C-3521ECE58314}" mergeInterval="0" changesSavedWin="1" personalView="1" maximized="1" windowWidth="1920" windowHeight="814" activeSheetId="1"/>
  </customWorkbookViews>
</workbook>
</file>

<file path=xl/calcChain.xml><?xml version="1.0" encoding="utf-8"?>
<calcChain xmlns="http://schemas.openxmlformats.org/spreadsheetml/2006/main">
  <c r="G20" i="14" l="1"/>
  <c r="F20" i="14"/>
  <c r="E20" i="14"/>
  <c r="D20" i="14"/>
  <c r="C20" i="14"/>
  <c r="B20" i="14"/>
  <c r="G18" i="14"/>
  <c r="F18" i="14"/>
  <c r="E18" i="14"/>
  <c r="D18" i="14"/>
  <c r="C18" i="14"/>
  <c r="B18" i="14"/>
  <c r="G17" i="14"/>
  <c r="F17" i="14"/>
  <c r="E17" i="14"/>
  <c r="D17" i="14"/>
  <c r="C17" i="14"/>
  <c r="B17" i="14"/>
  <c r="G16" i="14"/>
  <c r="F16" i="14"/>
  <c r="E16" i="14"/>
  <c r="D16" i="14"/>
  <c r="C16" i="14"/>
  <c r="B16" i="14"/>
  <c r="G15" i="14"/>
  <c r="F15" i="14"/>
  <c r="E15" i="14"/>
  <c r="D15" i="14"/>
  <c r="C15" i="14"/>
  <c r="B15" i="14"/>
  <c r="G13" i="14"/>
  <c r="F13" i="14"/>
  <c r="E13" i="14"/>
  <c r="D13" i="14"/>
  <c r="C13" i="14"/>
  <c r="B13" i="14"/>
  <c r="G12" i="14"/>
  <c r="F12" i="14"/>
  <c r="E12" i="14"/>
  <c r="D12" i="14"/>
  <c r="C12" i="14"/>
  <c r="B12" i="14"/>
  <c r="G11" i="14"/>
  <c r="F11" i="14"/>
  <c r="E11" i="14"/>
  <c r="D11" i="14"/>
  <c r="C11" i="14"/>
  <c r="B11" i="14"/>
  <c r="G10" i="14"/>
  <c r="F10" i="14"/>
  <c r="E10" i="14"/>
  <c r="D10" i="14"/>
  <c r="C10" i="14"/>
  <c r="B10" i="14"/>
  <c r="G8" i="14"/>
  <c r="F8" i="14"/>
  <c r="E8" i="14"/>
  <c r="D8" i="14"/>
  <c r="C8" i="14"/>
  <c r="B8" i="14"/>
  <c r="G7" i="14"/>
  <c r="F7" i="14"/>
  <c r="E7" i="14"/>
  <c r="D7" i="14"/>
  <c r="C7" i="14"/>
  <c r="B7" i="14"/>
  <c r="G6" i="14"/>
  <c r="F6" i="14"/>
  <c r="E6" i="14"/>
  <c r="D6" i="14"/>
  <c r="C6" i="14"/>
  <c r="G5" i="14"/>
  <c r="F5" i="14"/>
  <c r="E5" i="14"/>
  <c r="D5" i="14"/>
  <c r="C5" i="14"/>
  <c r="B5" i="14"/>
  <c r="G4" i="14"/>
  <c r="F4" i="14"/>
  <c r="E4" i="14"/>
  <c r="D4" i="14"/>
  <c r="C4" i="14"/>
  <c r="B4" i="14"/>
  <c r="G3" i="14"/>
  <c r="F3" i="14"/>
  <c r="E3" i="14"/>
  <c r="D3" i="14"/>
  <c r="C3" i="14"/>
  <c r="B3" i="14"/>
  <c r="C4" i="1" l="1"/>
  <c r="CE46" i="13" l="1"/>
  <c r="CD46" i="13"/>
  <c r="CC46" i="13"/>
  <c r="BZ46" i="13"/>
  <c r="BY46" i="13"/>
  <c r="BX46" i="13"/>
  <c r="BU46" i="13"/>
  <c r="BT46" i="13"/>
  <c r="BS46" i="13"/>
  <c r="BP46" i="13"/>
  <c r="BO46" i="13"/>
  <c r="BN46" i="13"/>
  <c r="BK46" i="13"/>
  <c r="BJ46" i="13"/>
  <c r="BI46" i="13"/>
  <c r="BF46" i="13"/>
  <c r="BE46" i="13"/>
  <c r="BD46" i="13"/>
  <c r="BA46" i="13"/>
  <c r="AZ46" i="13"/>
  <c r="AY46" i="13"/>
  <c r="AB46" i="13"/>
  <c r="AA46" i="13"/>
  <c r="Z46" i="13"/>
  <c r="T46" i="13"/>
  <c r="K46" i="13"/>
  <c r="AU46" i="13" s="1"/>
  <c r="I46" i="13"/>
  <c r="H46" i="13"/>
  <c r="AL46" i="13" s="1"/>
  <c r="G46" i="13"/>
  <c r="AF46" i="13" s="1"/>
  <c r="AG45" i="13"/>
  <c r="AF45" i="13"/>
  <c r="AE45" i="13"/>
  <c r="AB45" i="13"/>
  <c r="AA45" i="13"/>
  <c r="Z45" i="13"/>
  <c r="AG44" i="13"/>
  <c r="AF44" i="13"/>
  <c r="AE44" i="13"/>
  <c r="AB44" i="13"/>
  <c r="AA44" i="13"/>
  <c r="Z44" i="13"/>
  <c r="H44" i="13"/>
  <c r="AG43" i="13"/>
  <c r="AF43" i="13"/>
  <c r="AE43" i="13"/>
  <c r="AB43" i="13"/>
  <c r="AA43" i="13"/>
  <c r="Z43" i="13"/>
  <c r="Y43" i="13"/>
  <c r="Y42" i="13"/>
  <c r="F41" i="13"/>
  <c r="Z41" i="13" s="1"/>
  <c r="AB40" i="13"/>
  <c r="AA40" i="13"/>
  <c r="Z40" i="13"/>
  <c r="AB39" i="13"/>
  <c r="AA39" i="13"/>
  <c r="Z39" i="13"/>
  <c r="S38" i="13"/>
  <c r="CD38" i="13" s="1"/>
  <c r="R38" i="13"/>
  <c r="Q38" i="13"/>
  <c r="BS38" i="13" s="1"/>
  <c r="P38" i="13"/>
  <c r="BO38" i="13" s="1"/>
  <c r="N38" i="13"/>
  <c r="M38" i="13"/>
  <c r="BE38" i="13" s="1"/>
  <c r="L38" i="13"/>
  <c r="AY38" i="13" s="1"/>
  <c r="K38" i="13"/>
  <c r="AU38" i="13" s="1"/>
  <c r="I38" i="13"/>
  <c r="AQ38" i="13" s="1"/>
  <c r="H38" i="13"/>
  <c r="AK38" i="13" s="1"/>
  <c r="G38" i="13"/>
  <c r="AE38" i="13" s="1"/>
  <c r="F38" i="13"/>
  <c r="Y36" i="13"/>
  <c r="G36" i="13"/>
  <c r="AF36" i="13" s="1"/>
  <c r="F36" i="13"/>
  <c r="AA36" i="13" s="1"/>
  <c r="G35" i="13"/>
  <c r="AE35" i="13" s="1"/>
  <c r="F35" i="13"/>
  <c r="AA35" i="13" s="1"/>
  <c r="AG34" i="13"/>
  <c r="AF34" i="13"/>
  <c r="AE34" i="13"/>
  <c r="AB34" i="13"/>
  <c r="AA34" i="13"/>
  <c r="Z34" i="13"/>
  <c r="Y34" i="13"/>
  <c r="Y33" i="13"/>
  <c r="G33" i="13"/>
  <c r="AF33" i="13" s="1"/>
  <c r="F33" i="13"/>
  <c r="AB33" i="13" s="1"/>
  <c r="CE29" i="13"/>
  <c r="CD29" i="13"/>
  <c r="CC29" i="13"/>
  <c r="BZ29" i="13"/>
  <c r="BY29" i="13"/>
  <c r="BX29" i="13"/>
  <c r="BU29" i="13"/>
  <c r="BT29" i="13"/>
  <c r="BS29" i="13"/>
  <c r="BP29" i="13"/>
  <c r="BO29" i="13"/>
  <c r="BN29" i="13"/>
  <c r="BK29" i="13"/>
  <c r="BJ29" i="13"/>
  <c r="BI29" i="13"/>
  <c r="BF29" i="13"/>
  <c r="BE29" i="13"/>
  <c r="BD29" i="13"/>
  <c r="BA29" i="13"/>
  <c r="AZ29" i="13"/>
  <c r="AY29" i="13"/>
  <c r="AV29" i="13"/>
  <c r="AU29" i="13"/>
  <c r="AT29" i="13"/>
  <c r="AQ29" i="13"/>
  <c r="AP29" i="13"/>
  <c r="AO29" i="13"/>
  <c r="AL29" i="13"/>
  <c r="AK29" i="13"/>
  <c r="AJ29" i="13"/>
  <c r="AG29" i="13"/>
  <c r="AF29" i="13"/>
  <c r="AE29" i="13"/>
  <c r="AB29" i="13"/>
  <c r="AA29" i="13"/>
  <c r="Z29" i="13"/>
  <c r="W28" i="13"/>
  <c r="V28" i="13"/>
  <c r="U28" i="13"/>
  <c r="S28" i="13"/>
  <c r="R28" i="13"/>
  <c r="Q28" i="13"/>
  <c r="P28" i="13"/>
  <c r="W27" i="13"/>
  <c r="V27" i="13"/>
  <c r="U27" i="13"/>
  <c r="S27" i="13"/>
  <c r="R27" i="13"/>
  <c r="Q27" i="13"/>
  <c r="P27" i="13"/>
  <c r="W26" i="13"/>
  <c r="V26" i="13"/>
  <c r="U26" i="13"/>
  <c r="S26" i="13"/>
  <c r="R26" i="13"/>
  <c r="Q26" i="13"/>
  <c r="P26" i="13"/>
  <c r="N26" i="13"/>
  <c r="M26" i="13"/>
  <c r="L26" i="13"/>
  <c r="K26" i="13"/>
  <c r="W25" i="13"/>
  <c r="V25" i="13"/>
  <c r="U25" i="13"/>
  <c r="S25" i="13"/>
  <c r="R25" i="13"/>
  <c r="Q25" i="13"/>
  <c r="P25" i="13"/>
  <c r="N25" i="13"/>
  <c r="M25" i="13"/>
  <c r="L25" i="13"/>
  <c r="K25" i="13"/>
  <c r="W24" i="13"/>
  <c r="V24" i="13"/>
  <c r="U24" i="13"/>
  <c r="S24" i="13"/>
  <c r="R24" i="13"/>
  <c r="Q24" i="13"/>
  <c r="P24" i="13"/>
  <c r="N24" i="13"/>
  <c r="M24" i="13"/>
  <c r="L24" i="13"/>
  <c r="K24" i="13"/>
  <c r="AL23" i="13"/>
  <c r="AL26" i="13" s="1"/>
  <c r="AK23" i="13"/>
  <c r="AK26" i="13" s="1"/>
  <c r="AJ23" i="13"/>
  <c r="AJ26" i="13" s="1"/>
  <c r="W23" i="13"/>
  <c r="V23" i="13"/>
  <c r="U23" i="13"/>
  <c r="S23" i="13"/>
  <c r="R23" i="13"/>
  <c r="Q23" i="13"/>
  <c r="P23" i="13"/>
  <c r="N23" i="13"/>
  <c r="M23" i="13"/>
  <c r="L23" i="13"/>
  <c r="K23" i="13"/>
  <c r="W22" i="13"/>
  <c r="V22" i="13"/>
  <c r="U22" i="13"/>
  <c r="S22" i="13"/>
  <c r="R22" i="13"/>
  <c r="Q22" i="13"/>
  <c r="P22" i="13"/>
  <c r="N22" i="13"/>
  <c r="M22" i="13"/>
  <c r="L22" i="13"/>
  <c r="K22" i="13"/>
  <c r="I22" i="13"/>
  <c r="H22" i="13"/>
  <c r="AJ22" i="13" s="1"/>
  <c r="AJ25" i="13" s="1"/>
  <c r="W21" i="13"/>
  <c r="V21" i="13"/>
  <c r="U21" i="13"/>
  <c r="S21" i="13"/>
  <c r="R21" i="13"/>
  <c r="Q21" i="13"/>
  <c r="P21" i="13"/>
  <c r="N21" i="13"/>
  <c r="M21" i="13"/>
  <c r="L21" i="13"/>
  <c r="K21" i="13"/>
  <c r="I21" i="13"/>
  <c r="H21" i="13"/>
  <c r="AG15" i="13"/>
  <c r="AF15" i="13"/>
  <c r="AE15" i="13"/>
  <c r="AB15" i="13"/>
  <c r="AA15" i="13"/>
  <c r="Z15" i="13"/>
  <c r="S15" i="13"/>
  <c r="CE15" i="13" s="1"/>
  <c r="R15" i="13"/>
  <c r="BZ15" i="13" s="1"/>
  <c r="Q15" i="13"/>
  <c r="BU15" i="13" s="1"/>
  <c r="P15" i="13"/>
  <c r="BP15" i="13" s="1"/>
  <c r="N15" i="13"/>
  <c r="BK15" i="13" s="1"/>
  <c r="M15" i="13"/>
  <c r="BF15" i="13" s="1"/>
  <c r="L15" i="13"/>
  <c r="BA15" i="13" s="1"/>
  <c r="K15" i="13"/>
  <c r="AV15" i="13" s="1"/>
  <c r="I15" i="13"/>
  <c r="AQ15" i="13" s="1"/>
  <c r="H15" i="13"/>
  <c r="AL15" i="13" s="1"/>
  <c r="F14" i="13"/>
  <c r="AA14" i="13" s="1"/>
  <c r="AG13" i="13"/>
  <c r="AF13" i="13"/>
  <c r="AE13" i="13"/>
  <c r="AB13" i="13"/>
  <c r="AA13" i="13"/>
  <c r="Z13" i="13"/>
  <c r="W13" i="13"/>
  <c r="V13" i="13"/>
  <c r="U13" i="13"/>
  <c r="S13" i="13"/>
  <c r="CD13" i="13" s="1"/>
  <c r="R13" i="13"/>
  <c r="BY13" i="13" s="1"/>
  <c r="Q13" i="13"/>
  <c r="BT13" i="13" s="1"/>
  <c r="P13" i="13"/>
  <c r="BO13" i="13" s="1"/>
  <c r="N13" i="13"/>
  <c r="BJ13" i="13" s="1"/>
  <c r="M13" i="13"/>
  <c r="BE13" i="13" s="1"/>
  <c r="L13" i="13"/>
  <c r="AZ13" i="13" s="1"/>
  <c r="K13" i="13"/>
  <c r="AU13" i="13" s="1"/>
  <c r="I13" i="13"/>
  <c r="AP13" i="13" s="1"/>
  <c r="H13" i="13"/>
  <c r="AK13" i="13" s="1"/>
  <c r="AG12" i="13"/>
  <c r="AF12" i="13"/>
  <c r="AE12" i="13"/>
  <c r="AB12" i="13"/>
  <c r="AA12" i="13"/>
  <c r="Z12" i="13"/>
  <c r="W12" i="13"/>
  <c r="V12" i="13"/>
  <c r="U12" i="13"/>
  <c r="S12" i="13"/>
  <c r="CD12" i="13" s="1"/>
  <c r="R12" i="13"/>
  <c r="BY12" i="13" s="1"/>
  <c r="Q12" i="13"/>
  <c r="BT12" i="13" s="1"/>
  <c r="P12" i="13"/>
  <c r="BO12" i="13" s="1"/>
  <c r="N12" i="13"/>
  <c r="BJ12" i="13" s="1"/>
  <c r="M12" i="13"/>
  <c r="BE12" i="13" s="1"/>
  <c r="L12" i="13"/>
  <c r="AZ12" i="13" s="1"/>
  <c r="K12" i="13"/>
  <c r="AU12" i="13" s="1"/>
  <c r="I12" i="13"/>
  <c r="AP12" i="13" s="1"/>
  <c r="H12" i="13"/>
  <c r="AK12" i="13" s="1"/>
  <c r="AG11" i="13"/>
  <c r="AF11" i="13"/>
  <c r="AE11" i="13"/>
  <c r="AB11" i="13"/>
  <c r="AA11" i="13"/>
  <c r="Z11" i="13"/>
  <c r="W11" i="13"/>
  <c r="V11" i="13"/>
  <c r="U11" i="13"/>
  <c r="S11" i="13"/>
  <c r="CD11" i="13" s="1"/>
  <c r="R11" i="13"/>
  <c r="BY11" i="13" s="1"/>
  <c r="Q11" i="13"/>
  <c r="BT11" i="13" s="1"/>
  <c r="P11" i="13"/>
  <c r="BO11" i="13" s="1"/>
  <c r="N11" i="13"/>
  <c r="BJ11" i="13" s="1"/>
  <c r="M11" i="13"/>
  <c r="BE11" i="13" s="1"/>
  <c r="L11" i="13"/>
  <c r="AZ11" i="13" s="1"/>
  <c r="K11" i="13"/>
  <c r="AU11" i="13" s="1"/>
  <c r="I11" i="13"/>
  <c r="AP11" i="13" s="1"/>
  <c r="H11" i="13"/>
  <c r="AK11" i="13" s="1"/>
  <c r="AG10" i="13"/>
  <c r="AF10" i="13"/>
  <c r="AE10" i="13"/>
  <c r="AB10" i="13"/>
  <c r="AA10" i="13"/>
  <c r="Z10" i="13"/>
  <c r="W10" i="13"/>
  <c r="V10" i="13"/>
  <c r="U10" i="13"/>
  <c r="S10" i="13"/>
  <c r="CD10" i="13" s="1"/>
  <c r="R10" i="13"/>
  <c r="BY10" i="13" s="1"/>
  <c r="Q10" i="13"/>
  <c r="BT10" i="13" s="1"/>
  <c r="P10" i="13"/>
  <c r="N10" i="13"/>
  <c r="BJ10" i="13" s="1"/>
  <c r="M10" i="13"/>
  <c r="BE10" i="13" s="1"/>
  <c r="L10" i="13"/>
  <c r="AZ10" i="13" s="1"/>
  <c r="K10" i="13"/>
  <c r="AU10" i="13" s="1"/>
  <c r="I10" i="13"/>
  <c r="AP10" i="13" s="1"/>
  <c r="H10" i="13"/>
  <c r="AJ10" i="13" s="1"/>
  <c r="AG9" i="13"/>
  <c r="AF9" i="13"/>
  <c r="AE9" i="13"/>
  <c r="AB9" i="13"/>
  <c r="AA9" i="13"/>
  <c r="Z9" i="13"/>
  <c r="W9" i="13"/>
  <c r="V9" i="13"/>
  <c r="U9" i="13"/>
  <c r="S9" i="13"/>
  <c r="CD9" i="13" s="1"/>
  <c r="R9" i="13"/>
  <c r="BY9" i="13" s="1"/>
  <c r="Q9" i="13"/>
  <c r="BT9" i="13" s="1"/>
  <c r="P9" i="13"/>
  <c r="BO9" i="13" s="1"/>
  <c r="N9" i="13"/>
  <c r="M9" i="13"/>
  <c r="BE9" i="13" s="1"/>
  <c r="L9" i="13"/>
  <c r="AZ9" i="13" s="1"/>
  <c r="K9" i="13"/>
  <c r="AU9" i="13" s="1"/>
  <c r="I9" i="13"/>
  <c r="AP9" i="13" s="1"/>
  <c r="H9" i="13"/>
  <c r="AK9" i="13" s="1"/>
  <c r="Y8" i="13"/>
  <c r="AQ7" i="13"/>
  <c r="AP7" i="13"/>
  <c r="AO7" i="13"/>
  <c r="AL7" i="13"/>
  <c r="AK7" i="13"/>
  <c r="AM7" i="13" s="1"/>
  <c r="AJ7" i="13"/>
  <c r="AG7" i="13"/>
  <c r="AF7" i="13"/>
  <c r="AE7" i="13"/>
  <c r="AB7" i="13"/>
  <c r="AA7" i="13"/>
  <c r="AC7" i="13" s="1"/>
  <c r="Z7" i="13"/>
  <c r="J7" i="13"/>
  <c r="AG6" i="13"/>
  <c r="AF6" i="13"/>
  <c r="AE6" i="13"/>
  <c r="AB6" i="13"/>
  <c r="AA6" i="13"/>
  <c r="Z6" i="13"/>
  <c r="AG5" i="13"/>
  <c r="AF5" i="13"/>
  <c r="AE5" i="13"/>
  <c r="AB5" i="13"/>
  <c r="AA5" i="13"/>
  <c r="Z5" i="13"/>
  <c r="H5" i="13"/>
  <c r="AJ5" i="13" s="1"/>
  <c r="H4" i="13"/>
  <c r="G4" i="13"/>
  <c r="AG4" i="13" s="1"/>
  <c r="F4" i="13"/>
  <c r="F8" i="13" s="1"/>
  <c r="AB8" i="13" s="1"/>
  <c r="C4" i="13"/>
  <c r="B4" i="13"/>
  <c r="C4" i="12"/>
  <c r="B4" i="12"/>
  <c r="B4" i="1"/>
  <c r="C4" i="11"/>
  <c r="B4" i="11"/>
  <c r="C4" i="7"/>
  <c r="B4" i="7"/>
  <c r="C4" i="8"/>
  <c r="B4" i="8"/>
  <c r="C4" i="5"/>
  <c r="B4" i="5"/>
  <c r="AH6" i="13" l="1"/>
  <c r="CA46" i="13"/>
  <c r="AC5" i="13"/>
  <c r="AC39" i="13"/>
  <c r="BG46" i="13"/>
  <c r="BL29" i="13"/>
  <c r="AH15" i="13"/>
  <c r="AM29" i="13"/>
  <c r="CA29" i="13"/>
  <c r="AC9" i="13"/>
  <c r="AF35" i="13"/>
  <c r="AH35" i="13" s="1"/>
  <c r="AC10" i="13"/>
  <c r="AH11" i="13"/>
  <c r="AR29" i="13"/>
  <c r="CF29" i="13"/>
  <c r="AG35" i="13"/>
  <c r="V38" i="13"/>
  <c r="AH5" i="13"/>
  <c r="AH12" i="13"/>
  <c r="BG29" i="13"/>
  <c r="AL38" i="13"/>
  <c r="AC6" i="13"/>
  <c r="AR7" i="13"/>
  <c r="AC11" i="13"/>
  <c r="Y47" i="13"/>
  <c r="Y49" i="13" s="1"/>
  <c r="AC34" i="13"/>
  <c r="CC38" i="13"/>
  <c r="CF38" i="13" s="1"/>
  <c r="BV46" i="13"/>
  <c r="AC12" i="13"/>
  <c r="AH13" i="13"/>
  <c r="Z33" i="13"/>
  <c r="AT38" i="13"/>
  <c r="CE38" i="13"/>
  <c r="AK46" i="13"/>
  <c r="Z4" i="13"/>
  <c r="AH7" i="13"/>
  <c r="AA33" i="13"/>
  <c r="U38" i="13"/>
  <c r="AV38" i="13"/>
  <c r="AC45" i="13"/>
  <c r="BL46" i="13"/>
  <c r="AE33" i="13"/>
  <c r="AA4" i="13"/>
  <c r="AE4" i="13"/>
  <c r="AG33" i="13"/>
  <c r="Z36" i="13"/>
  <c r="W38" i="13"/>
  <c r="BD38" i="13"/>
  <c r="BB46" i="13"/>
  <c r="AF4" i="13"/>
  <c r="AH9" i="13"/>
  <c r="AC15" i="13"/>
  <c r="AB36" i="13"/>
  <c r="AC36" i="13" s="1"/>
  <c r="AF38" i="13"/>
  <c r="BF38" i="13"/>
  <c r="BG38" i="13" s="1"/>
  <c r="AC43" i="13"/>
  <c r="AH45" i="13"/>
  <c r="BQ46" i="13"/>
  <c r="AH10" i="13"/>
  <c r="AC13" i="13"/>
  <c r="AG38" i="13"/>
  <c r="BP38" i="13"/>
  <c r="AC40" i="13"/>
  <c r="AC46" i="13"/>
  <c r="CF46" i="13"/>
  <c r="BU9" i="13"/>
  <c r="AQ10" i="13"/>
  <c r="AO9" i="13"/>
  <c r="BJ15" i="13"/>
  <c r="BX15" i="13"/>
  <c r="AT15" i="13"/>
  <c r="BD15" i="13"/>
  <c r="AU15" i="13"/>
  <c r="BI15" i="13"/>
  <c r="AO15" i="13"/>
  <c r="CC15" i="13"/>
  <c r="AP15" i="13"/>
  <c r="CD15" i="13"/>
  <c r="BK10" i="13"/>
  <c r="BF10" i="13"/>
  <c r="BX10" i="13"/>
  <c r="AO10" i="13"/>
  <c r="AQ13" i="13"/>
  <c r="BP13" i="13"/>
  <c r="AT13" i="13"/>
  <c r="BS13" i="13"/>
  <c r="AV13" i="13"/>
  <c r="BU13" i="13"/>
  <c r="BA13" i="13"/>
  <c r="BD13" i="13"/>
  <c r="J13" i="13"/>
  <c r="BF13" i="13"/>
  <c r="AO13" i="13"/>
  <c r="BN13" i="13"/>
  <c r="AO12" i="13"/>
  <c r="BX12" i="13"/>
  <c r="AQ12" i="13"/>
  <c r="BZ12" i="13"/>
  <c r="AT12" i="13"/>
  <c r="CE12" i="13"/>
  <c r="BD12" i="13"/>
  <c r="BF12" i="13"/>
  <c r="BK12" i="13"/>
  <c r="T12" i="13"/>
  <c r="BS12" i="13"/>
  <c r="BU12" i="13"/>
  <c r="BN11" i="13"/>
  <c r="AO11" i="13"/>
  <c r="BP11" i="13"/>
  <c r="AQ11" i="13"/>
  <c r="BS11" i="13"/>
  <c r="AT11" i="13"/>
  <c r="BU11" i="13"/>
  <c r="BA11" i="13"/>
  <c r="BD11" i="13"/>
  <c r="BF11" i="13"/>
  <c r="J11" i="13"/>
  <c r="BS10" i="13"/>
  <c r="BU10" i="13"/>
  <c r="BZ10" i="13"/>
  <c r="AT10" i="13"/>
  <c r="CE10" i="13"/>
  <c r="BD10" i="13"/>
  <c r="AV9" i="13"/>
  <c r="BA9" i="13"/>
  <c r="BD9" i="13"/>
  <c r="J9" i="13"/>
  <c r="BF9" i="13"/>
  <c r="AQ9" i="13"/>
  <c r="BP9" i="13"/>
  <c r="BN9" i="13"/>
  <c r="AT9" i="13"/>
  <c r="BS9" i="13"/>
  <c r="AK4" i="13"/>
  <c r="AL4" i="13"/>
  <c r="BJ9" i="13"/>
  <c r="BK9" i="13"/>
  <c r="BI9" i="13"/>
  <c r="O9" i="13"/>
  <c r="AJ4" i="13"/>
  <c r="BO10" i="13"/>
  <c r="T10" i="13"/>
  <c r="BP10" i="13"/>
  <c r="BN10" i="13"/>
  <c r="AL5" i="13"/>
  <c r="AK5" i="13"/>
  <c r="I5" i="13"/>
  <c r="AK10" i="13"/>
  <c r="J10" i="13"/>
  <c r="AL10" i="13"/>
  <c r="BI11" i="13"/>
  <c r="AY12" i="13"/>
  <c r="CC13" i="13"/>
  <c r="Z14" i="13"/>
  <c r="AJ15" i="13"/>
  <c r="Z8" i="13"/>
  <c r="T9" i="13"/>
  <c r="CE9" i="13"/>
  <c r="BX11" i="13"/>
  <c r="BA12" i="13"/>
  <c r="BN12" i="13"/>
  <c r="T13" i="13"/>
  <c r="CE13" i="13"/>
  <c r="AY15" i="13"/>
  <c r="AM26" i="13"/>
  <c r="O10" i="13"/>
  <c r="AV10" i="13"/>
  <c r="BI10" i="13"/>
  <c r="AL11" i="13"/>
  <c r="AY11" i="13"/>
  <c r="BB11" i="13" s="1"/>
  <c r="BZ11" i="13"/>
  <c r="BP12" i="13"/>
  <c r="CC12" i="13"/>
  <c r="AB14" i="13"/>
  <c r="AZ15" i="13"/>
  <c r="BN15" i="13"/>
  <c r="AJ28" i="13"/>
  <c r="BO15" i="13"/>
  <c r="AY10" i="13"/>
  <c r="BI13" i="13"/>
  <c r="CC11" i="13"/>
  <c r="O13" i="13"/>
  <c r="AA8" i="13"/>
  <c r="BX9" i="13"/>
  <c r="CE11" i="13"/>
  <c r="AJ13" i="13"/>
  <c r="BK13" i="13"/>
  <c r="BE15" i="13"/>
  <c r="AJ9" i="13"/>
  <c r="BA10" i="13"/>
  <c r="T11" i="13"/>
  <c r="BX13" i="13"/>
  <c r="BS15" i="13"/>
  <c r="AL9" i="13"/>
  <c r="AY9" i="13"/>
  <c r="BZ9" i="13"/>
  <c r="CC10" i="13"/>
  <c r="O12" i="13"/>
  <c r="AV12" i="13"/>
  <c r="BI12" i="13"/>
  <c r="AL13" i="13"/>
  <c r="AY13" i="13"/>
  <c r="BZ13" i="13"/>
  <c r="J15" i="13"/>
  <c r="BT15" i="13"/>
  <c r="AJ12" i="13"/>
  <c r="T15" i="13"/>
  <c r="CC9" i="13"/>
  <c r="O11" i="13"/>
  <c r="AV11" i="13"/>
  <c r="AL12" i="13"/>
  <c r="AB4" i="13"/>
  <c r="AJ11" i="13"/>
  <c r="BK11" i="13"/>
  <c r="J12" i="13"/>
  <c r="AK15" i="13"/>
  <c r="BY15" i="13"/>
  <c r="AK22" i="13"/>
  <c r="AK25" i="13" s="1"/>
  <c r="AK28" i="13" s="1"/>
  <c r="AM23" i="13"/>
  <c r="BB29" i="13"/>
  <c r="AL22" i="13"/>
  <c r="AL25" i="13" s="1"/>
  <c r="AL28" i="13" s="1"/>
  <c r="AC29" i="13"/>
  <c r="BQ29" i="13"/>
  <c r="BY38" i="13"/>
  <c r="BZ38" i="13"/>
  <c r="O15" i="13"/>
  <c r="AH29" i="13"/>
  <c r="BV29" i="13"/>
  <c r="AH34" i="13"/>
  <c r="AO46" i="13"/>
  <c r="AQ46" i="13"/>
  <c r="AP46" i="13"/>
  <c r="AW29" i="13"/>
  <c r="AH33" i="13"/>
  <c r="BX38" i="13"/>
  <c r="AH44" i="13"/>
  <c r="AK44" i="13"/>
  <c r="I44" i="13"/>
  <c r="J44" i="13" s="1"/>
  <c r="AL44" i="13"/>
  <c r="AJ44" i="13"/>
  <c r="AB35" i="13"/>
  <c r="Z35" i="13"/>
  <c r="AE36" i="13"/>
  <c r="AG36" i="13"/>
  <c r="Z38" i="13"/>
  <c r="AB38" i="13"/>
  <c r="AA38" i="13"/>
  <c r="BJ38" i="13"/>
  <c r="BK38" i="13"/>
  <c r="BI38" i="13"/>
  <c r="AZ38" i="13"/>
  <c r="BA38" i="13"/>
  <c r="AH43" i="13"/>
  <c r="AC44" i="13"/>
  <c r="AP38" i="13"/>
  <c r="AO38" i="13"/>
  <c r="BT38" i="13"/>
  <c r="BU38" i="13"/>
  <c r="AA41" i="13"/>
  <c r="AB41" i="13"/>
  <c r="AJ38" i="13"/>
  <c r="BN38" i="13"/>
  <c r="AE46" i="13"/>
  <c r="J46" i="13"/>
  <c r="AG46" i="13"/>
  <c r="AV46" i="13"/>
  <c r="AT46" i="13"/>
  <c r="O46" i="13"/>
  <c r="AJ46" i="13"/>
  <c r="D25" i="12"/>
  <c r="U25" i="12" s="1"/>
  <c r="D24" i="12"/>
  <c r="L24" i="12" s="1"/>
  <c r="D23" i="12"/>
  <c r="W23" i="12" s="1"/>
  <c r="J7" i="12"/>
  <c r="T46" i="12"/>
  <c r="K46" i="12"/>
  <c r="O46" i="12" s="1"/>
  <c r="I46" i="12"/>
  <c r="AP46" i="12" s="1"/>
  <c r="H46" i="12"/>
  <c r="G46" i="12"/>
  <c r="F41" i="12"/>
  <c r="S38" i="12"/>
  <c r="U38" i="12" s="1"/>
  <c r="R38" i="12"/>
  <c r="BZ38" i="12" s="1"/>
  <c r="Q38" i="12"/>
  <c r="P38" i="12"/>
  <c r="N38" i="12"/>
  <c r="BK38" i="12" s="1"/>
  <c r="M38" i="12"/>
  <c r="L38" i="12"/>
  <c r="AY38" i="12" s="1"/>
  <c r="K38" i="12"/>
  <c r="AV38" i="12" s="1"/>
  <c r="I38" i="12"/>
  <c r="AO38" i="12" s="1"/>
  <c r="H38" i="12"/>
  <c r="AK38" i="12" s="1"/>
  <c r="G38" i="12"/>
  <c r="AE38" i="12" s="1"/>
  <c r="F38" i="12"/>
  <c r="G36" i="12"/>
  <c r="F36" i="12"/>
  <c r="AB36" i="12" s="1"/>
  <c r="G35" i="12"/>
  <c r="AG35" i="12" s="1"/>
  <c r="F35" i="12"/>
  <c r="Z35" i="12" s="1"/>
  <c r="G33" i="12"/>
  <c r="AG33" i="12" s="1"/>
  <c r="F33" i="12"/>
  <c r="AA33" i="12" s="1"/>
  <c r="W28" i="12"/>
  <c r="V28" i="12"/>
  <c r="U28" i="12"/>
  <c r="S28" i="12"/>
  <c r="R28" i="12"/>
  <c r="Q28" i="12"/>
  <c r="P28" i="12"/>
  <c r="W27" i="12"/>
  <c r="V27" i="12"/>
  <c r="U27" i="12"/>
  <c r="S27" i="12"/>
  <c r="R27" i="12"/>
  <c r="Q27" i="12"/>
  <c r="P27" i="12"/>
  <c r="W26" i="12"/>
  <c r="V26" i="12"/>
  <c r="U26" i="12"/>
  <c r="S26" i="12"/>
  <c r="R26" i="12"/>
  <c r="Q26" i="12"/>
  <c r="P26" i="12"/>
  <c r="N26" i="12"/>
  <c r="M26" i="12"/>
  <c r="L26" i="12"/>
  <c r="K26" i="12"/>
  <c r="P23" i="12"/>
  <c r="K23" i="12"/>
  <c r="W15" i="12"/>
  <c r="V15" i="12"/>
  <c r="U15" i="12"/>
  <c r="W13" i="12"/>
  <c r="V13" i="12"/>
  <c r="U13" i="12"/>
  <c r="W12" i="12"/>
  <c r="V12" i="12"/>
  <c r="U12" i="12"/>
  <c r="S12" i="12"/>
  <c r="CE12" i="12" s="1"/>
  <c r="R12" i="12"/>
  <c r="BZ12" i="12" s="1"/>
  <c r="Q12" i="12"/>
  <c r="BU12" i="12" s="1"/>
  <c r="P12" i="12"/>
  <c r="BN12" i="12" s="1"/>
  <c r="N12" i="12"/>
  <c r="BI12" i="12" s="1"/>
  <c r="M12" i="12"/>
  <c r="BD12" i="12" s="1"/>
  <c r="L12" i="12"/>
  <c r="K12" i="12"/>
  <c r="I12" i="12"/>
  <c r="AQ12" i="12" s="1"/>
  <c r="H12" i="12"/>
  <c r="W11" i="12"/>
  <c r="V11" i="12"/>
  <c r="U11" i="12"/>
  <c r="W10" i="12"/>
  <c r="V10" i="12"/>
  <c r="U10" i="12"/>
  <c r="W9" i="12"/>
  <c r="V9" i="12"/>
  <c r="U9" i="12"/>
  <c r="W5" i="12"/>
  <c r="V5" i="12"/>
  <c r="U5" i="12"/>
  <c r="S5" i="12"/>
  <c r="R5" i="12"/>
  <c r="Q5" i="12"/>
  <c r="P5" i="12"/>
  <c r="N5" i="12"/>
  <c r="M5" i="12"/>
  <c r="L5" i="12"/>
  <c r="K5" i="12"/>
  <c r="I5" i="12"/>
  <c r="H5" i="12"/>
  <c r="G4" i="12"/>
  <c r="AF4" i="12" s="1"/>
  <c r="F4" i="12"/>
  <c r="Z4" i="12" s="1"/>
  <c r="BT38" i="12"/>
  <c r="D44" i="12"/>
  <c r="H44" i="12" s="1"/>
  <c r="I44" i="12" s="1"/>
  <c r="K44" i="12" s="1"/>
  <c r="D22" i="12"/>
  <c r="S22" i="12" s="1"/>
  <c r="D21" i="12"/>
  <c r="U21" i="12" s="1"/>
  <c r="D15" i="12"/>
  <c r="Q15" i="12" s="1"/>
  <c r="BU15" i="12" s="1"/>
  <c r="E14" i="12"/>
  <c r="D14" i="12" s="1"/>
  <c r="F14" i="12" s="1"/>
  <c r="D13" i="12"/>
  <c r="M13" i="12" s="1"/>
  <c r="BD13" i="12" s="1"/>
  <c r="D11" i="12"/>
  <c r="P11" i="12" s="1"/>
  <c r="D10" i="12"/>
  <c r="P10" i="12" s="1"/>
  <c r="D9" i="12"/>
  <c r="Q9" i="12" s="1"/>
  <c r="E8" i="12"/>
  <c r="D8" i="12" s="1"/>
  <c r="E6" i="12"/>
  <c r="D5" i="12"/>
  <c r="CE46" i="12"/>
  <c r="CD46" i="12"/>
  <c r="CC46" i="12"/>
  <c r="BZ46" i="12"/>
  <c r="BY46" i="12"/>
  <c r="BX46" i="12"/>
  <c r="BU46" i="12"/>
  <c r="BT46" i="12"/>
  <c r="BS46" i="12"/>
  <c r="BP46" i="12"/>
  <c r="BO46" i="12"/>
  <c r="BN46" i="12"/>
  <c r="BK46" i="12"/>
  <c r="BJ46" i="12"/>
  <c r="BI46" i="12"/>
  <c r="BF46" i="12"/>
  <c r="BE46" i="12"/>
  <c r="BD46" i="12"/>
  <c r="BA46" i="12"/>
  <c r="AZ46" i="12"/>
  <c r="AY46" i="12"/>
  <c r="AB46" i="12"/>
  <c r="AA46" i="12"/>
  <c r="Z46" i="12"/>
  <c r="AG45" i="12"/>
  <c r="AF45" i="12"/>
  <c r="AE45" i="12"/>
  <c r="AB45" i="12"/>
  <c r="AA45" i="12"/>
  <c r="Z45" i="12"/>
  <c r="AG44" i="12"/>
  <c r="AF44" i="12"/>
  <c r="AE44" i="12"/>
  <c r="AB44" i="12"/>
  <c r="AA44" i="12"/>
  <c r="Z44" i="12"/>
  <c r="AG43" i="12"/>
  <c r="AF43" i="12"/>
  <c r="AE43" i="12"/>
  <c r="AB43" i="12"/>
  <c r="AA43" i="12"/>
  <c r="Z43" i="12"/>
  <c r="Y43" i="12"/>
  <c r="Y42" i="12"/>
  <c r="AB41" i="12"/>
  <c r="AB40" i="12"/>
  <c r="AA40" i="12"/>
  <c r="Z40" i="12"/>
  <c r="AB39" i="12"/>
  <c r="AA39" i="12"/>
  <c r="Z39" i="12"/>
  <c r="AF38" i="12"/>
  <c r="BO38" i="12"/>
  <c r="Y36" i="12"/>
  <c r="AB35" i="12"/>
  <c r="AG34" i="12"/>
  <c r="AF34" i="12"/>
  <c r="AE34" i="12"/>
  <c r="AB34" i="12"/>
  <c r="AA34" i="12"/>
  <c r="Z34" i="12"/>
  <c r="Y34" i="12"/>
  <c r="Y33" i="12"/>
  <c r="CE29" i="12"/>
  <c r="CD29" i="12"/>
  <c r="CC29" i="12"/>
  <c r="BZ29" i="12"/>
  <c r="BY29" i="12"/>
  <c r="BX29" i="12"/>
  <c r="BU29" i="12"/>
  <c r="BT29" i="12"/>
  <c r="BS29" i="12"/>
  <c r="BP29" i="12"/>
  <c r="BO29" i="12"/>
  <c r="BN29" i="12"/>
  <c r="BK29" i="12"/>
  <c r="BJ29" i="12"/>
  <c r="BI29" i="12"/>
  <c r="BF29" i="12"/>
  <c r="BE29" i="12"/>
  <c r="BD29" i="12"/>
  <c r="BA29" i="12"/>
  <c r="AZ29" i="12"/>
  <c r="AY29" i="12"/>
  <c r="AV29" i="12"/>
  <c r="AU29" i="12"/>
  <c r="AT29" i="12"/>
  <c r="AQ29" i="12"/>
  <c r="AP29" i="12"/>
  <c r="AO29" i="12"/>
  <c r="AL29" i="12"/>
  <c r="AK29" i="12"/>
  <c r="AJ29" i="12"/>
  <c r="AG29" i="12"/>
  <c r="AF29" i="12"/>
  <c r="AE29" i="12"/>
  <c r="AB29" i="12"/>
  <c r="AA29" i="12"/>
  <c r="Z29" i="12"/>
  <c r="AL23" i="12"/>
  <c r="AL26" i="12" s="1"/>
  <c r="AK23" i="12"/>
  <c r="AJ23" i="12"/>
  <c r="AJ26" i="12" s="1"/>
  <c r="AG15" i="12"/>
  <c r="AF15" i="12"/>
  <c r="AE15" i="12"/>
  <c r="AB15" i="12"/>
  <c r="AA15" i="12"/>
  <c r="Z15" i="12"/>
  <c r="AG13" i="12"/>
  <c r="AF13" i="12"/>
  <c r="AE13" i="12"/>
  <c r="AB13" i="12"/>
  <c r="AA13" i="12"/>
  <c r="Z13" i="12"/>
  <c r="CC12" i="12"/>
  <c r="AP12" i="12"/>
  <c r="AG12" i="12"/>
  <c r="AF12" i="12"/>
  <c r="AE12" i="12"/>
  <c r="AB12" i="12"/>
  <c r="AA12" i="12"/>
  <c r="Z12" i="12"/>
  <c r="AG11" i="12"/>
  <c r="AF11" i="12"/>
  <c r="AE11" i="12"/>
  <c r="AB11" i="12"/>
  <c r="AA11" i="12"/>
  <c r="Z11" i="12"/>
  <c r="AG10" i="12"/>
  <c r="AF10" i="12"/>
  <c r="AE10" i="12"/>
  <c r="AB10" i="12"/>
  <c r="AA10" i="12"/>
  <c r="Z10" i="12"/>
  <c r="AG9" i="12"/>
  <c r="AF9" i="12"/>
  <c r="AE9" i="12"/>
  <c r="AB9" i="12"/>
  <c r="AA9" i="12"/>
  <c r="Z9" i="12"/>
  <c r="Y8" i="12"/>
  <c r="AQ7" i="12"/>
  <c r="AP7" i="12"/>
  <c r="AO7" i="12"/>
  <c r="AL7" i="12"/>
  <c r="AK7" i="12"/>
  <c r="AJ7" i="12"/>
  <c r="AG7" i="12"/>
  <c r="AF7" i="12"/>
  <c r="AE7" i="12"/>
  <c r="AB7" i="12"/>
  <c r="AA7" i="12"/>
  <c r="Z7" i="12"/>
  <c r="AG6" i="12"/>
  <c r="AF6" i="12"/>
  <c r="AE6" i="12"/>
  <c r="AB6" i="12"/>
  <c r="AA6" i="12"/>
  <c r="Z6" i="12"/>
  <c r="AG5" i="12"/>
  <c r="AF5" i="12"/>
  <c r="AE5" i="12"/>
  <c r="AB5" i="12"/>
  <c r="AA5" i="12"/>
  <c r="Z5" i="12"/>
  <c r="W10" i="1"/>
  <c r="W11" i="1"/>
  <c r="W12" i="1"/>
  <c r="W13" i="1"/>
  <c r="W9" i="1"/>
  <c r="V10" i="1"/>
  <c r="V11" i="1"/>
  <c r="V12" i="1"/>
  <c r="V13" i="1"/>
  <c r="V9" i="1"/>
  <c r="U10" i="1"/>
  <c r="U11" i="1"/>
  <c r="U12" i="1"/>
  <c r="U13" i="1"/>
  <c r="U9" i="1"/>
  <c r="U9" i="11"/>
  <c r="V9" i="11"/>
  <c r="V10" i="11"/>
  <c r="V11" i="11"/>
  <c r="V12" i="11"/>
  <c r="V13" i="11"/>
  <c r="W9" i="11"/>
  <c r="U10" i="11"/>
  <c r="U11" i="11"/>
  <c r="U12" i="11"/>
  <c r="U13" i="11"/>
  <c r="AA4" i="12" l="1"/>
  <c r="CA10" i="13"/>
  <c r="AC46" i="12"/>
  <c r="BV38" i="13"/>
  <c r="BB13" i="13"/>
  <c r="AM5" i="13"/>
  <c r="BT12" i="12"/>
  <c r="BX12" i="12"/>
  <c r="Z36" i="12"/>
  <c r="J46" i="12"/>
  <c r="AB4" i="12"/>
  <c r="F8" i="12"/>
  <c r="U23" i="12"/>
  <c r="L23" i="12"/>
  <c r="AC13" i="12"/>
  <c r="Q23" i="12"/>
  <c r="AF46" i="12"/>
  <c r="BK12" i="12"/>
  <c r="V23" i="12"/>
  <c r="BJ12" i="12"/>
  <c r="BQ38" i="13"/>
  <c r="AM46" i="13"/>
  <c r="AM38" i="13"/>
  <c r="AW38" i="13"/>
  <c r="AC33" i="13"/>
  <c r="AC4" i="13"/>
  <c r="AH4" i="13"/>
  <c r="AC6" i="12"/>
  <c r="BG46" i="12"/>
  <c r="J12" i="12"/>
  <c r="BV9" i="13"/>
  <c r="AH38" i="13"/>
  <c r="AR10" i="13"/>
  <c r="O29" i="13"/>
  <c r="BG10" i="13"/>
  <c r="BB38" i="13"/>
  <c r="BQ12" i="13"/>
  <c r="AC41" i="13"/>
  <c r="AC38" i="13"/>
  <c r="CA11" i="13"/>
  <c r="AH36" i="13"/>
  <c r="CA38" i="13"/>
  <c r="CF10" i="13"/>
  <c r="AC35" i="13"/>
  <c r="AM4" i="13"/>
  <c r="AR13" i="13"/>
  <c r="I10" i="12"/>
  <c r="H11" i="12"/>
  <c r="M10" i="12"/>
  <c r="BF10" i="12" s="1"/>
  <c r="I11" i="12"/>
  <c r="AQ11" i="12" s="1"/>
  <c r="N10" i="12"/>
  <c r="M11" i="12"/>
  <c r="BD11" i="12" s="1"/>
  <c r="AH34" i="12"/>
  <c r="BV46" i="12"/>
  <c r="R10" i="12"/>
  <c r="N11" i="12"/>
  <c r="BK11" i="12" s="1"/>
  <c r="S10" i="12"/>
  <c r="CE10" i="12" s="1"/>
  <c r="R11" i="12"/>
  <c r="BZ11" i="12" s="1"/>
  <c r="BL46" i="12"/>
  <c r="S11" i="12"/>
  <c r="CD11" i="12" s="1"/>
  <c r="L13" i="12"/>
  <c r="BA13" i="12" s="1"/>
  <c r="H10" i="12"/>
  <c r="AJ10" i="12" s="1"/>
  <c r="AM15" i="13"/>
  <c r="AR9" i="13"/>
  <c r="BL12" i="13"/>
  <c r="BG12" i="13"/>
  <c r="BL10" i="13"/>
  <c r="AW10" i="13"/>
  <c r="AW11" i="13"/>
  <c r="BV11" i="13"/>
  <c r="AM11" i="13"/>
  <c r="AM9" i="13"/>
  <c r="BV15" i="13"/>
  <c r="CA15" i="13"/>
  <c r="BG15" i="13"/>
  <c r="AR15" i="13"/>
  <c r="BL15" i="13"/>
  <c r="AW15" i="13"/>
  <c r="CF15" i="13"/>
  <c r="BV13" i="13"/>
  <c r="AW12" i="13"/>
  <c r="AR12" i="13"/>
  <c r="BB10" i="13"/>
  <c r="BV10" i="13"/>
  <c r="AM10" i="13"/>
  <c r="BG13" i="13"/>
  <c r="BL13" i="13"/>
  <c r="BQ13" i="13"/>
  <c r="AW13" i="13"/>
  <c r="CA13" i="13"/>
  <c r="BB12" i="13"/>
  <c r="AM12" i="13"/>
  <c r="BV12" i="13"/>
  <c r="CF12" i="13"/>
  <c r="CA12" i="13"/>
  <c r="AR11" i="13"/>
  <c r="BG11" i="13"/>
  <c r="BQ11" i="13"/>
  <c r="BQ10" i="13"/>
  <c r="BB9" i="13"/>
  <c r="AW9" i="13"/>
  <c r="BG9" i="13"/>
  <c r="BL9" i="13"/>
  <c r="BQ9" i="13"/>
  <c r="AM13" i="13"/>
  <c r="AR38" i="13"/>
  <c r="AM44" i="13"/>
  <c r="CA9" i="13"/>
  <c r="BB15" i="13"/>
  <c r="Z17" i="13"/>
  <c r="AC8" i="13"/>
  <c r="BL11" i="13"/>
  <c r="AH46" i="13"/>
  <c r="AM22" i="13"/>
  <c r="AQ5" i="13"/>
  <c r="AP5" i="13"/>
  <c r="K5" i="13"/>
  <c r="AO5" i="13"/>
  <c r="AM28" i="13"/>
  <c r="AC14" i="13"/>
  <c r="AR46" i="13"/>
  <c r="T29" i="13"/>
  <c r="CF9" i="13"/>
  <c r="CF11" i="13"/>
  <c r="BQ15" i="13"/>
  <c r="CF13" i="13"/>
  <c r="J5" i="13"/>
  <c r="K44" i="13"/>
  <c r="AP44" i="13"/>
  <c r="AQ44" i="13"/>
  <c r="AO44" i="13"/>
  <c r="AM25" i="13"/>
  <c r="AW46" i="13"/>
  <c r="BL38" i="13"/>
  <c r="O38" i="13" s="1"/>
  <c r="J29" i="13"/>
  <c r="Q13" i="12"/>
  <c r="BS13" i="12" s="1"/>
  <c r="Q11" i="12"/>
  <c r="K11" i="12"/>
  <c r="AT11" i="12" s="1"/>
  <c r="L11" i="12"/>
  <c r="BN10" i="12"/>
  <c r="Q10" i="12"/>
  <c r="K10" i="12"/>
  <c r="AV10" i="12" s="1"/>
  <c r="L10" i="12"/>
  <c r="BA10" i="12" s="1"/>
  <c r="N23" i="12"/>
  <c r="R23" i="12"/>
  <c r="S23" i="12"/>
  <c r="M23" i="12"/>
  <c r="L22" i="12"/>
  <c r="Q22" i="12"/>
  <c r="R22" i="12"/>
  <c r="U22" i="12"/>
  <c r="V22" i="12"/>
  <c r="H22" i="12"/>
  <c r="AJ22" i="12" s="1"/>
  <c r="K22" i="12"/>
  <c r="M15" i="12"/>
  <c r="BE15" i="12" s="1"/>
  <c r="R15" i="12"/>
  <c r="BZ15" i="12" s="1"/>
  <c r="S15" i="12"/>
  <c r="CE15" i="12" s="1"/>
  <c r="H15" i="12"/>
  <c r="AL15" i="12" s="1"/>
  <c r="I15" i="12"/>
  <c r="AP15" i="12" s="1"/>
  <c r="K15" i="12"/>
  <c r="AV15" i="12" s="1"/>
  <c r="H9" i="12"/>
  <c r="AL9" i="12" s="1"/>
  <c r="K9" i="12"/>
  <c r="AU9" i="12" s="1"/>
  <c r="N9" i="12"/>
  <c r="BK9" i="12" s="1"/>
  <c r="R9" i="12"/>
  <c r="BY9" i="12" s="1"/>
  <c r="I9" i="12"/>
  <c r="AQ9" i="12" s="1"/>
  <c r="S9" i="12"/>
  <c r="CE9" i="12" s="1"/>
  <c r="L9" i="12"/>
  <c r="BA9" i="12" s="1"/>
  <c r="M9" i="12"/>
  <c r="P9" i="12"/>
  <c r="BP9" i="12" s="1"/>
  <c r="N13" i="12"/>
  <c r="BI13" i="12" s="1"/>
  <c r="P13" i="12"/>
  <c r="BO13" i="12" s="1"/>
  <c r="H13" i="12"/>
  <c r="R13" i="12"/>
  <c r="BZ13" i="12" s="1"/>
  <c r="I13" i="12"/>
  <c r="S13" i="12"/>
  <c r="CE13" i="12" s="1"/>
  <c r="K13" i="12"/>
  <c r="AT13" i="12" s="1"/>
  <c r="M24" i="12"/>
  <c r="R24" i="12"/>
  <c r="Q24" i="12"/>
  <c r="V24" i="12"/>
  <c r="W24" i="12"/>
  <c r="N24" i="12"/>
  <c r="J5" i="12"/>
  <c r="O5" i="12"/>
  <c r="T5" i="12"/>
  <c r="L15" i="12"/>
  <c r="BA15" i="12" s="1"/>
  <c r="N15" i="12"/>
  <c r="BK15" i="12" s="1"/>
  <c r="P15" i="12"/>
  <c r="L25" i="12"/>
  <c r="M25" i="12"/>
  <c r="W25" i="12"/>
  <c r="N25" i="12"/>
  <c r="P25" i="12"/>
  <c r="Q25" i="12"/>
  <c r="V25" i="12"/>
  <c r="R25" i="12"/>
  <c r="S25" i="12"/>
  <c r="K25" i="12"/>
  <c r="AJ12" i="12"/>
  <c r="O12" i="12"/>
  <c r="T12" i="12"/>
  <c r="BL12" i="12"/>
  <c r="AA14" i="12"/>
  <c r="P24" i="12"/>
  <c r="S24" i="12"/>
  <c r="K24" i="12"/>
  <c r="U24" i="12"/>
  <c r="L21" i="12"/>
  <c r="V21" i="12"/>
  <c r="M21" i="12"/>
  <c r="W21" i="12"/>
  <c r="N21" i="12"/>
  <c r="P21" i="12"/>
  <c r="Q21" i="12"/>
  <c r="H21" i="12"/>
  <c r="R21" i="12"/>
  <c r="I21" i="12"/>
  <c r="S21" i="12"/>
  <c r="K21" i="12"/>
  <c r="M22" i="12"/>
  <c r="W22" i="12"/>
  <c r="N22" i="12"/>
  <c r="P22" i="12"/>
  <c r="I22" i="12"/>
  <c r="J44" i="12"/>
  <c r="AL44" i="12"/>
  <c r="AK44" i="12"/>
  <c r="L44" i="12"/>
  <c r="M44" i="12" s="1"/>
  <c r="N44" i="12" s="1"/>
  <c r="P44" i="12" s="1"/>
  <c r="AH10" i="12"/>
  <c r="H4" i="12"/>
  <c r="V38" i="12"/>
  <c r="BQ29" i="12"/>
  <c r="BB46" i="12"/>
  <c r="W38" i="12"/>
  <c r="BQ46" i="12"/>
  <c r="BG29" i="12"/>
  <c r="AC7" i="12"/>
  <c r="AL46" i="12"/>
  <c r="BA12" i="12"/>
  <c r="AG38" i="12"/>
  <c r="AH38" i="12" s="1"/>
  <c r="AC12" i="12"/>
  <c r="CA29" i="12"/>
  <c r="CA46" i="12"/>
  <c r="AV46" i="12"/>
  <c r="AH6" i="12"/>
  <c r="AH13" i="12"/>
  <c r="AC29" i="12"/>
  <c r="AA35" i="12"/>
  <c r="AC35" i="12" s="1"/>
  <c r="AM7" i="12"/>
  <c r="AH12" i="12"/>
  <c r="AH45" i="12"/>
  <c r="CF46" i="12"/>
  <c r="AW29" i="12"/>
  <c r="AH5" i="12"/>
  <c r="AC11" i="12"/>
  <c r="AM23" i="12"/>
  <c r="BB29" i="12"/>
  <c r="AR29" i="12"/>
  <c r="AC45" i="12"/>
  <c r="AH11" i="12"/>
  <c r="AC34" i="12"/>
  <c r="AC44" i="12"/>
  <c r="AC9" i="12"/>
  <c r="AH29" i="12"/>
  <c r="CF29" i="12"/>
  <c r="AC40" i="12"/>
  <c r="AC43" i="12"/>
  <c r="AR7" i="12"/>
  <c r="BV29" i="12"/>
  <c r="AH44" i="12"/>
  <c r="AH7" i="12"/>
  <c r="AH9" i="12"/>
  <c r="AC10" i="12"/>
  <c r="AM29" i="12"/>
  <c r="BL29" i="12"/>
  <c r="AH43" i="12"/>
  <c r="AL5" i="12"/>
  <c r="AK5" i="12"/>
  <c r="AY11" i="12"/>
  <c r="AO12" i="12"/>
  <c r="AR12" i="12" s="1"/>
  <c r="BS12" i="12"/>
  <c r="Z33" i="12"/>
  <c r="AB33" i="12"/>
  <c r="BS15" i="12"/>
  <c r="AE46" i="12"/>
  <c r="BT15" i="12"/>
  <c r="AY12" i="12"/>
  <c r="BY38" i="12"/>
  <c r="AJ46" i="12"/>
  <c r="BX38" i="12"/>
  <c r="BD9" i="12"/>
  <c r="BJ11" i="12"/>
  <c r="AZ12" i="12"/>
  <c r="CD12" i="12"/>
  <c r="CF12" i="12" s="1"/>
  <c r="AU38" i="12"/>
  <c r="CC38" i="12"/>
  <c r="AT46" i="12"/>
  <c r="CD38" i="12"/>
  <c r="BI38" i="12"/>
  <c r="BX11" i="12"/>
  <c r="BJ38" i="12"/>
  <c r="AK11" i="12"/>
  <c r="AG4" i="12"/>
  <c r="AE4" i="12"/>
  <c r="BN11" i="12"/>
  <c r="AL12" i="12"/>
  <c r="AK12" i="12"/>
  <c r="AB8" i="12"/>
  <c r="AA8" i="12"/>
  <c r="Z8" i="12"/>
  <c r="BP12" i="12"/>
  <c r="BO12" i="12"/>
  <c r="AJ5" i="12"/>
  <c r="BP11" i="12"/>
  <c r="BO11" i="12"/>
  <c r="AC5" i="12"/>
  <c r="BP10" i="12"/>
  <c r="BO10" i="12"/>
  <c r="BD15" i="12"/>
  <c r="Z14" i="12"/>
  <c r="AB14" i="12"/>
  <c r="AH15" i="12"/>
  <c r="AV12" i="12"/>
  <c r="AU12" i="12"/>
  <c r="BF12" i="12"/>
  <c r="BE12" i="12"/>
  <c r="AT12" i="12"/>
  <c r="BF13" i="12"/>
  <c r="BE13" i="12"/>
  <c r="BG13" i="12" s="1"/>
  <c r="AC15" i="12"/>
  <c r="AK26" i="12"/>
  <c r="AM26" i="12" s="1"/>
  <c r="AE36" i="12"/>
  <c r="AG36" i="12"/>
  <c r="AF36" i="12"/>
  <c r="BF38" i="12"/>
  <c r="BD38" i="12"/>
  <c r="BE38" i="12"/>
  <c r="BY10" i="12"/>
  <c r="BY12" i="12"/>
  <c r="CA12" i="12" s="1"/>
  <c r="AE35" i="12"/>
  <c r="AA36" i="12"/>
  <c r="AL38" i="12"/>
  <c r="AJ38" i="12"/>
  <c r="BU38" i="12"/>
  <c r="BS38" i="12"/>
  <c r="AF33" i="12"/>
  <c r="AE33" i="12"/>
  <c r="AF35" i="12"/>
  <c r="AQ38" i="12"/>
  <c r="AP38" i="12"/>
  <c r="BA38" i="12"/>
  <c r="AZ38" i="12"/>
  <c r="AC39" i="12"/>
  <c r="AB38" i="12"/>
  <c r="Z38" i="12"/>
  <c r="AA38" i="12"/>
  <c r="Y47" i="12"/>
  <c r="Y49" i="12" s="1"/>
  <c r="BP38" i="12"/>
  <c r="BN38" i="12"/>
  <c r="CE38" i="12"/>
  <c r="Z41" i="12"/>
  <c r="AA41" i="12"/>
  <c r="AT38" i="12"/>
  <c r="AG46" i="12"/>
  <c r="AQ46" i="12"/>
  <c r="AJ44" i="12"/>
  <c r="AK46" i="12"/>
  <c r="AU46" i="12"/>
  <c r="AO46" i="12"/>
  <c r="AY13" i="12" l="1"/>
  <c r="AC36" i="12"/>
  <c r="AK22" i="12"/>
  <c r="AK25" i="12" s="1"/>
  <c r="AK28" i="12" s="1"/>
  <c r="BD10" i="12"/>
  <c r="AC4" i="12"/>
  <c r="T38" i="13"/>
  <c r="BF15" i="12"/>
  <c r="BG15" i="12" s="1"/>
  <c r="CA38" i="12"/>
  <c r="BV12" i="12"/>
  <c r="AK9" i="12"/>
  <c r="AL10" i="12"/>
  <c r="AK15" i="12"/>
  <c r="AP11" i="12"/>
  <c r="BY11" i="12"/>
  <c r="CA11" i="12" s="1"/>
  <c r="AO11" i="12"/>
  <c r="AJ15" i="12"/>
  <c r="CC10" i="12"/>
  <c r="CF10" i="12" s="1"/>
  <c r="CE11" i="12"/>
  <c r="AM38" i="12"/>
  <c r="CC15" i="12"/>
  <c r="AU11" i="12"/>
  <c r="AW11" i="12" s="1"/>
  <c r="AV11" i="12"/>
  <c r="AZ10" i="12"/>
  <c r="J11" i="12"/>
  <c r="O29" i="12"/>
  <c r="AH46" i="12"/>
  <c r="BO9" i="12"/>
  <c r="BF11" i="12"/>
  <c r="CD15" i="12"/>
  <c r="AV9" i="12"/>
  <c r="AL22" i="12"/>
  <c r="AL25" i="12" s="1"/>
  <c r="AL28" i="12" s="1"/>
  <c r="CC11" i="12"/>
  <c r="AR5" i="13"/>
  <c r="J38" i="13"/>
  <c r="AR44" i="13"/>
  <c r="AL11" i="12"/>
  <c r="AJ9" i="12"/>
  <c r="BE11" i="12"/>
  <c r="BI11" i="12"/>
  <c r="BL11" i="12" s="1"/>
  <c r="J15" i="12"/>
  <c r="J10" i="12"/>
  <c r="AZ13" i="12"/>
  <c r="AT10" i="12"/>
  <c r="AW10" i="12" s="1"/>
  <c r="AU10" i="12"/>
  <c r="CD10" i="12"/>
  <c r="J29" i="12"/>
  <c r="T11" i="12"/>
  <c r="AW38" i="12"/>
  <c r="AT9" i="12"/>
  <c r="AJ11" i="12"/>
  <c r="T10" i="12"/>
  <c r="AW46" i="12"/>
  <c r="BI15" i="12"/>
  <c r="BJ15" i="12"/>
  <c r="Z18" i="13"/>
  <c r="AV5" i="13"/>
  <c r="AU5" i="13"/>
  <c r="AT5" i="13"/>
  <c r="L5" i="13"/>
  <c r="AU44" i="13"/>
  <c r="L44" i="13"/>
  <c r="AV44" i="13"/>
  <c r="AT44" i="13"/>
  <c r="AU13" i="12"/>
  <c r="BU13" i="12"/>
  <c r="BX13" i="12"/>
  <c r="AV13" i="12"/>
  <c r="BT13" i="12"/>
  <c r="BY13" i="12"/>
  <c r="BP13" i="12"/>
  <c r="CC13" i="12"/>
  <c r="CD13" i="12"/>
  <c r="O13" i="12"/>
  <c r="BA11" i="12"/>
  <c r="AZ11" i="12"/>
  <c r="BB11" i="12" s="1"/>
  <c r="O11" i="12"/>
  <c r="BS11" i="12"/>
  <c r="BU11" i="12"/>
  <c r="BT11" i="12"/>
  <c r="AY10" i="12"/>
  <c r="BS10" i="12"/>
  <c r="BT10" i="12"/>
  <c r="BU10" i="12"/>
  <c r="O10" i="12"/>
  <c r="BX15" i="12"/>
  <c r="BY15" i="12"/>
  <c r="T15" i="12"/>
  <c r="AO15" i="12"/>
  <c r="AQ15" i="12"/>
  <c r="BJ9" i="12"/>
  <c r="AY9" i="12"/>
  <c r="O9" i="12"/>
  <c r="BI9" i="12"/>
  <c r="AP9" i="12"/>
  <c r="CC9" i="12"/>
  <c r="AO9" i="12"/>
  <c r="BN9" i="12"/>
  <c r="T9" i="12"/>
  <c r="CD9" i="12"/>
  <c r="J9" i="12"/>
  <c r="AJ13" i="12"/>
  <c r="J13" i="12"/>
  <c r="AK13" i="12"/>
  <c r="AL13" i="12"/>
  <c r="AO13" i="12"/>
  <c r="AQ13" i="12"/>
  <c r="BB13" i="12"/>
  <c r="T13" i="12"/>
  <c r="BN13" i="12"/>
  <c r="AP13" i="12"/>
  <c r="BJ13" i="12"/>
  <c r="BK13" i="12"/>
  <c r="AZ15" i="12"/>
  <c r="BN15" i="12"/>
  <c r="BP15" i="12"/>
  <c r="BO15" i="12"/>
  <c r="AY15" i="12"/>
  <c r="O15" i="12"/>
  <c r="BQ12" i="12"/>
  <c r="AM44" i="12"/>
  <c r="O44" i="12"/>
  <c r="Q44" i="12"/>
  <c r="R44" i="12" s="1"/>
  <c r="S44" i="12" s="1"/>
  <c r="U44" i="12" s="1"/>
  <c r="V44" i="12" s="1"/>
  <c r="W44" i="12" s="1"/>
  <c r="AL4" i="12"/>
  <c r="AM46" i="12"/>
  <c r="AK4" i="12"/>
  <c r="BB38" i="12"/>
  <c r="AJ4" i="12"/>
  <c r="T29" i="12"/>
  <c r="BB12" i="12"/>
  <c r="BV38" i="12"/>
  <c r="AW12" i="12"/>
  <c r="AM5" i="12"/>
  <c r="AC33" i="12"/>
  <c r="BQ38" i="12"/>
  <c r="BG12" i="12"/>
  <c r="AM12" i="12"/>
  <c r="AR46" i="12"/>
  <c r="BV15" i="12"/>
  <c r="AM15" i="12"/>
  <c r="BQ10" i="12"/>
  <c r="AM9" i="12"/>
  <c r="BU9" i="12"/>
  <c r="BT9" i="12"/>
  <c r="BS9" i="12"/>
  <c r="BE10" i="12"/>
  <c r="BG10" i="12" s="1"/>
  <c r="AK10" i="12"/>
  <c r="BZ10" i="12"/>
  <c r="BX10" i="12"/>
  <c r="AQ10" i="12"/>
  <c r="AO10" i="12"/>
  <c r="AP10" i="12"/>
  <c r="BL38" i="12"/>
  <c r="AR38" i="12"/>
  <c r="AT15" i="12"/>
  <c r="AU15" i="12"/>
  <c r="BG38" i="12"/>
  <c r="BE9" i="12"/>
  <c r="AZ9" i="12"/>
  <c r="AM11" i="12"/>
  <c r="BK10" i="12"/>
  <c r="BI10" i="12"/>
  <c r="BJ10" i="12"/>
  <c r="BZ9" i="12"/>
  <c r="BX9" i="12"/>
  <c r="CF38" i="12"/>
  <c r="BF9" i="12"/>
  <c r="Z17" i="12"/>
  <c r="AC8" i="12"/>
  <c r="AJ25" i="12"/>
  <c r="AW9" i="12"/>
  <c r="AO44" i="12"/>
  <c r="AQ44" i="12"/>
  <c r="AP44" i="12"/>
  <c r="AC14" i="12"/>
  <c r="AH4" i="12"/>
  <c r="AC38" i="12"/>
  <c r="AC41" i="12"/>
  <c r="AH33" i="12"/>
  <c r="AH36" i="12"/>
  <c r="AQ5" i="12"/>
  <c r="AO5" i="12"/>
  <c r="AP5" i="12"/>
  <c r="BQ11" i="12"/>
  <c r="AH35" i="12"/>
  <c r="CE46" i="11"/>
  <c r="CD46" i="11"/>
  <c r="CC46" i="11"/>
  <c r="BZ46" i="11"/>
  <c r="BY46" i="11"/>
  <c r="BX46" i="11"/>
  <c r="BU46" i="11"/>
  <c r="BT46" i="11"/>
  <c r="BS46" i="11"/>
  <c r="BP46" i="11"/>
  <c r="BO46" i="11"/>
  <c r="BN46" i="11"/>
  <c r="BK46" i="11"/>
  <c r="BJ46" i="11"/>
  <c r="BI46" i="11"/>
  <c r="BF46" i="11"/>
  <c r="BE46" i="11"/>
  <c r="BD46" i="11"/>
  <c r="BA46" i="11"/>
  <c r="AZ46" i="11"/>
  <c r="AY46" i="11"/>
  <c r="AB46" i="11"/>
  <c r="AA46" i="11"/>
  <c r="Z46" i="11"/>
  <c r="T46" i="11"/>
  <c r="K46" i="11"/>
  <c r="AV46" i="11" s="1"/>
  <c r="I46" i="11"/>
  <c r="H46" i="11"/>
  <c r="AL46" i="11" s="1"/>
  <c r="G46" i="11"/>
  <c r="AG46" i="11" s="1"/>
  <c r="AG45" i="11"/>
  <c r="AF45" i="11"/>
  <c r="AE45" i="11"/>
  <c r="AB45" i="11"/>
  <c r="AA45" i="11"/>
  <c r="Z45" i="11"/>
  <c r="AG44" i="11"/>
  <c r="AF44" i="11"/>
  <c r="AE44" i="11"/>
  <c r="AB44" i="11"/>
  <c r="AA44" i="11"/>
  <c r="Z44" i="11"/>
  <c r="H44" i="11"/>
  <c r="AJ44" i="11" s="1"/>
  <c r="AG43" i="11"/>
  <c r="AF43" i="11"/>
  <c r="AE43" i="11"/>
  <c r="AB43" i="11"/>
  <c r="AA43" i="11"/>
  <c r="Z43" i="11"/>
  <c r="Y43" i="11"/>
  <c r="Y42" i="11"/>
  <c r="F41" i="11"/>
  <c r="AB40" i="11"/>
  <c r="AA40" i="11"/>
  <c r="Z40" i="11"/>
  <c r="AB39" i="11"/>
  <c r="AA39" i="11"/>
  <c r="Z39" i="11"/>
  <c r="S38" i="11"/>
  <c r="W38" i="11" s="1"/>
  <c r="R38" i="11"/>
  <c r="BZ38" i="11" s="1"/>
  <c r="Q38" i="11"/>
  <c r="BU38" i="11" s="1"/>
  <c r="P38" i="11"/>
  <c r="N38" i="11"/>
  <c r="BK38" i="11" s="1"/>
  <c r="M38" i="11"/>
  <c r="BF38" i="11" s="1"/>
  <c r="L38" i="11"/>
  <c r="K38" i="11"/>
  <c r="AU38" i="11" s="1"/>
  <c r="I38" i="11"/>
  <c r="AP38" i="11" s="1"/>
  <c r="H38" i="11"/>
  <c r="AL38" i="11" s="1"/>
  <c r="G38" i="11"/>
  <c r="AG38" i="11" s="1"/>
  <c r="F38" i="11"/>
  <c r="AB38" i="11" s="1"/>
  <c r="Y36" i="11"/>
  <c r="G36" i="11"/>
  <c r="AE36" i="11" s="1"/>
  <c r="F36" i="11"/>
  <c r="Z36" i="11" s="1"/>
  <c r="G35" i="11"/>
  <c r="AF35" i="11" s="1"/>
  <c r="F35" i="11"/>
  <c r="Z35" i="11" s="1"/>
  <c r="AG34" i="11"/>
  <c r="AF34" i="11"/>
  <c r="AE34" i="11"/>
  <c r="AB34" i="11"/>
  <c r="AA34" i="11"/>
  <c r="Z34" i="11"/>
  <c r="Y34" i="11"/>
  <c r="Y33" i="11"/>
  <c r="G33" i="11"/>
  <c r="AG33" i="11" s="1"/>
  <c r="F33" i="11"/>
  <c r="AB33" i="11" s="1"/>
  <c r="CE29" i="11"/>
  <c r="CD29" i="11"/>
  <c r="CC29" i="11"/>
  <c r="BZ29" i="11"/>
  <c r="BY29" i="11"/>
  <c r="BX29" i="11"/>
  <c r="BU29" i="11"/>
  <c r="BT29" i="11"/>
  <c r="BS29" i="11"/>
  <c r="BP29" i="11"/>
  <c r="BO29" i="11"/>
  <c r="BN29" i="11"/>
  <c r="BK29" i="11"/>
  <c r="BJ29" i="11"/>
  <c r="BI29" i="11"/>
  <c r="BF29" i="11"/>
  <c r="BE29" i="11"/>
  <c r="BD29" i="11"/>
  <c r="BA29" i="11"/>
  <c r="AZ29" i="11"/>
  <c r="AY29" i="11"/>
  <c r="AV29" i="11"/>
  <c r="AU29" i="11"/>
  <c r="AT29" i="11"/>
  <c r="AQ29" i="11"/>
  <c r="AP29" i="11"/>
  <c r="AO29" i="11"/>
  <c r="AL29" i="11"/>
  <c r="AK29" i="11"/>
  <c r="AJ29" i="11"/>
  <c r="AG29" i="11"/>
  <c r="AF29" i="11"/>
  <c r="AE29" i="11"/>
  <c r="AB29" i="11"/>
  <c r="AA29" i="11"/>
  <c r="Z29" i="11"/>
  <c r="W28" i="11"/>
  <c r="V28" i="11"/>
  <c r="U28" i="11"/>
  <c r="S28" i="11"/>
  <c r="R28" i="11"/>
  <c r="Q28" i="11"/>
  <c r="P28" i="11"/>
  <c r="W27" i="11"/>
  <c r="V27" i="11"/>
  <c r="U27" i="11"/>
  <c r="S27" i="11"/>
  <c r="R27" i="11"/>
  <c r="Q27" i="11"/>
  <c r="P27" i="11"/>
  <c r="W26" i="11"/>
  <c r="V26" i="11"/>
  <c r="U26" i="11"/>
  <c r="S26" i="11"/>
  <c r="R26" i="11"/>
  <c r="Q26" i="11"/>
  <c r="P26" i="11"/>
  <c r="N26" i="11"/>
  <c r="M26" i="11"/>
  <c r="L26" i="11"/>
  <c r="K26" i="11"/>
  <c r="W25" i="11"/>
  <c r="V25" i="11"/>
  <c r="U25" i="11"/>
  <c r="S25" i="11"/>
  <c r="R25" i="11"/>
  <c r="Q25" i="11"/>
  <c r="P25" i="11"/>
  <c r="N25" i="11"/>
  <c r="M25" i="11"/>
  <c r="L25" i="11"/>
  <c r="K25" i="11"/>
  <c r="W24" i="11"/>
  <c r="V24" i="11"/>
  <c r="U24" i="11"/>
  <c r="S24" i="11"/>
  <c r="R24" i="11"/>
  <c r="Q24" i="11"/>
  <c r="P24" i="11"/>
  <c r="N24" i="11"/>
  <c r="M24" i="11"/>
  <c r="L24" i="11"/>
  <c r="K24" i="11"/>
  <c r="AL23" i="11"/>
  <c r="AL26" i="11" s="1"/>
  <c r="AK23" i="11"/>
  <c r="AK26" i="11" s="1"/>
  <c r="AJ23" i="11"/>
  <c r="AJ26" i="11" s="1"/>
  <c r="W23" i="11"/>
  <c r="V23" i="11"/>
  <c r="U23" i="11"/>
  <c r="S23" i="11"/>
  <c r="R23" i="11"/>
  <c r="Q23" i="11"/>
  <c r="P23" i="11"/>
  <c r="N23" i="11"/>
  <c r="M23" i="11"/>
  <c r="L23" i="11"/>
  <c r="K23" i="11"/>
  <c r="W22" i="11"/>
  <c r="V22" i="11"/>
  <c r="U22" i="11"/>
  <c r="S22" i="11"/>
  <c r="R22" i="11"/>
  <c r="Q22" i="11"/>
  <c r="P22" i="11"/>
  <c r="N22" i="11"/>
  <c r="M22" i="11"/>
  <c r="L22" i="11"/>
  <c r="K22" i="11"/>
  <c r="I22" i="11"/>
  <c r="H22" i="11"/>
  <c r="AL22" i="11" s="1"/>
  <c r="AL25" i="11" s="1"/>
  <c r="AL28" i="11" s="1"/>
  <c r="W21" i="11"/>
  <c r="V21" i="11"/>
  <c r="U21" i="11"/>
  <c r="S21" i="11"/>
  <c r="R21" i="11"/>
  <c r="Q21" i="11"/>
  <c r="P21" i="11"/>
  <c r="N21" i="11"/>
  <c r="M21" i="11"/>
  <c r="L21" i="11"/>
  <c r="K21" i="11"/>
  <c r="I21" i="11"/>
  <c r="H21" i="11"/>
  <c r="AG15" i="11"/>
  <c r="AF15" i="11"/>
  <c r="AE15" i="11"/>
  <c r="AB15" i="11"/>
  <c r="AA15" i="11"/>
  <c r="Z15" i="11"/>
  <c r="S15" i="11"/>
  <c r="CC15" i="11" s="1"/>
  <c r="R15" i="11"/>
  <c r="BZ15" i="11" s="1"/>
  <c r="Q15" i="11"/>
  <c r="BS15" i="11" s="1"/>
  <c r="P15" i="11"/>
  <c r="N15" i="11"/>
  <c r="BI15" i="11" s="1"/>
  <c r="M15" i="11"/>
  <c r="BF15" i="11" s="1"/>
  <c r="L15" i="11"/>
  <c r="AY15" i="11" s="1"/>
  <c r="K15" i="11"/>
  <c r="I15" i="11"/>
  <c r="H15" i="11"/>
  <c r="AK15" i="11" s="1"/>
  <c r="F14" i="11"/>
  <c r="AB14" i="11" s="1"/>
  <c r="AG13" i="11"/>
  <c r="AF13" i="11"/>
  <c r="AE13" i="11"/>
  <c r="AB13" i="11"/>
  <c r="AA13" i="11"/>
  <c r="Z13" i="11"/>
  <c r="W13" i="11"/>
  <c r="S13" i="11"/>
  <c r="CE13" i="11" s="1"/>
  <c r="R13" i="11"/>
  <c r="BZ13" i="11" s="1"/>
  <c r="Q13" i="11"/>
  <c r="P13" i="11"/>
  <c r="N13" i="11"/>
  <c r="BK13" i="11" s="1"/>
  <c r="M13" i="11"/>
  <c r="BF13" i="11" s="1"/>
  <c r="L13" i="11"/>
  <c r="AY13" i="11" s="1"/>
  <c r="K13" i="11"/>
  <c r="AT13" i="11" s="1"/>
  <c r="I13" i="11"/>
  <c r="H13" i="11"/>
  <c r="AG12" i="11"/>
  <c r="AF12" i="11"/>
  <c r="AE12" i="11"/>
  <c r="AB12" i="11"/>
  <c r="AA12" i="11"/>
  <c r="Z12" i="11"/>
  <c r="W12" i="11"/>
  <c r="S12" i="11"/>
  <c r="CE12" i="11" s="1"/>
  <c r="R12" i="11"/>
  <c r="BX12" i="11" s="1"/>
  <c r="Q12" i="11"/>
  <c r="BU12" i="11" s="1"/>
  <c r="P12" i="11"/>
  <c r="N12" i="11"/>
  <c r="BK12" i="11" s="1"/>
  <c r="M12" i="11"/>
  <c r="BD12" i="11" s="1"/>
  <c r="L12" i="11"/>
  <c r="AZ12" i="11" s="1"/>
  <c r="K12" i="11"/>
  <c r="I12" i="11"/>
  <c r="H12" i="11"/>
  <c r="AL12" i="11" s="1"/>
  <c r="AG11" i="11"/>
  <c r="AF11" i="11"/>
  <c r="AE11" i="11"/>
  <c r="AB11" i="11"/>
  <c r="AA11" i="11"/>
  <c r="Z11" i="11"/>
  <c r="W11" i="11"/>
  <c r="S11" i="11"/>
  <c r="CE11" i="11" s="1"/>
  <c r="R11" i="11"/>
  <c r="BX11" i="11" s="1"/>
  <c r="Q11" i="11"/>
  <c r="BT11" i="11" s="1"/>
  <c r="P11" i="11"/>
  <c r="N11" i="11"/>
  <c r="BK11" i="11" s="1"/>
  <c r="M11" i="11"/>
  <c r="BD11" i="11" s="1"/>
  <c r="L11" i="11"/>
  <c r="BA11" i="11" s="1"/>
  <c r="K11" i="11"/>
  <c r="I11" i="11"/>
  <c r="AQ11" i="11" s="1"/>
  <c r="H11" i="11"/>
  <c r="AG10" i="11"/>
  <c r="AF10" i="11"/>
  <c r="AE10" i="11"/>
  <c r="AB10" i="11"/>
  <c r="AA10" i="11"/>
  <c r="Z10" i="11"/>
  <c r="W10" i="11"/>
  <c r="S10" i="11"/>
  <c r="CE10" i="11" s="1"/>
  <c r="R10" i="11"/>
  <c r="BZ10" i="11" s="1"/>
  <c r="Q10" i="11"/>
  <c r="BU10" i="11" s="1"/>
  <c r="P10" i="11"/>
  <c r="N10" i="11"/>
  <c r="BK10" i="11" s="1"/>
  <c r="M10" i="11"/>
  <c r="BE10" i="11" s="1"/>
  <c r="L10" i="11"/>
  <c r="BA10" i="11" s="1"/>
  <c r="K10" i="11"/>
  <c r="I10" i="11"/>
  <c r="AQ10" i="11" s="1"/>
  <c r="H10" i="11"/>
  <c r="AG9" i="11"/>
  <c r="AF9" i="11"/>
  <c r="AE9" i="11"/>
  <c r="AB9" i="11"/>
  <c r="AA9" i="11"/>
  <c r="Z9" i="11"/>
  <c r="S9" i="11"/>
  <c r="CE9" i="11" s="1"/>
  <c r="R9" i="11"/>
  <c r="BZ9" i="11" s="1"/>
  <c r="Q9" i="11"/>
  <c r="BU9" i="11" s="1"/>
  <c r="P9" i="11"/>
  <c r="BO9" i="11" s="1"/>
  <c r="N9" i="11"/>
  <c r="BK9" i="11" s="1"/>
  <c r="M9" i="11"/>
  <c r="BE9" i="11" s="1"/>
  <c r="L9" i="11"/>
  <c r="AY9" i="11" s="1"/>
  <c r="K9" i="11"/>
  <c r="I9" i="11"/>
  <c r="AQ9" i="11" s="1"/>
  <c r="H9" i="11"/>
  <c r="AK9" i="11" s="1"/>
  <c r="Y8" i="11"/>
  <c r="AQ7" i="11"/>
  <c r="AP7" i="11"/>
  <c r="AO7" i="11"/>
  <c r="AL7" i="11"/>
  <c r="AK7" i="11"/>
  <c r="AJ7" i="11"/>
  <c r="AG7" i="11"/>
  <c r="AF7" i="11"/>
  <c r="AE7" i="11"/>
  <c r="AB7" i="11"/>
  <c r="AA7" i="11"/>
  <c r="Z7" i="11"/>
  <c r="J7" i="11"/>
  <c r="AG6" i="11"/>
  <c r="AF6" i="11"/>
  <c r="AE6" i="11"/>
  <c r="AB6" i="11"/>
  <c r="AA6" i="11"/>
  <c r="Z6" i="11"/>
  <c r="AG5" i="11"/>
  <c r="AF5" i="11"/>
  <c r="AE5" i="11"/>
  <c r="AB5" i="11"/>
  <c r="AA5" i="11"/>
  <c r="Z5" i="11"/>
  <c r="H5" i="11"/>
  <c r="G4" i="11"/>
  <c r="AG4" i="11" s="1"/>
  <c r="F4" i="11"/>
  <c r="F8" i="11" s="1"/>
  <c r="AH34" i="11" l="1"/>
  <c r="AH43" i="11"/>
  <c r="AR11" i="12"/>
  <c r="AH11" i="11"/>
  <c r="BL15" i="12"/>
  <c r="BG11" i="12"/>
  <c r="AH9" i="11"/>
  <c r="CA13" i="12"/>
  <c r="AR9" i="12"/>
  <c r="BB10" i="12"/>
  <c r="AW13" i="12"/>
  <c r="CF11" i="12"/>
  <c r="CF9" i="12"/>
  <c r="BQ13" i="12"/>
  <c r="AM10" i="12"/>
  <c r="CF15" i="12"/>
  <c r="AE46" i="11"/>
  <c r="BL46" i="11"/>
  <c r="CA46" i="11"/>
  <c r="AA38" i="11"/>
  <c r="AC34" i="11"/>
  <c r="BE38" i="11"/>
  <c r="T10" i="11"/>
  <c r="AH10" i="11"/>
  <c r="BG46" i="11"/>
  <c r="AM22" i="12"/>
  <c r="BQ9" i="12"/>
  <c r="BV10" i="12"/>
  <c r="BV13" i="12"/>
  <c r="BB15" i="12"/>
  <c r="AC6" i="11"/>
  <c r="Z38" i="11"/>
  <c r="AC38" i="11" s="1"/>
  <c r="AC39" i="11"/>
  <c r="AC5" i="11"/>
  <c r="AC10" i="11"/>
  <c r="AE38" i="11"/>
  <c r="AC44" i="11"/>
  <c r="BJ12" i="11"/>
  <c r="AH13" i="11"/>
  <c r="AJ38" i="11"/>
  <c r="BV46" i="11"/>
  <c r="BD38" i="11"/>
  <c r="T11" i="11"/>
  <c r="AA35" i="11"/>
  <c r="BX38" i="11"/>
  <c r="CC9" i="11"/>
  <c r="AH44" i="11"/>
  <c r="AH12" i="11"/>
  <c r="U38" i="11"/>
  <c r="CD38" i="11"/>
  <c r="AC45" i="11"/>
  <c r="BB46" i="11"/>
  <c r="BQ46" i="11"/>
  <c r="AW5" i="13"/>
  <c r="Z14" i="11"/>
  <c r="AR7" i="11"/>
  <c r="BN9" i="11"/>
  <c r="T9" i="11"/>
  <c r="AL10" i="11"/>
  <c r="J10" i="11"/>
  <c r="CC12" i="11"/>
  <c r="T13" i="11"/>
  <c r="AM29" i="11"/>
  <c r="BL29" i="11"/>
  <c r="CA29" i="11"/>
  <c r="BI38" i="11"/>
  <c r="AF46" i="11"/>
  <c r="AF33" i="11"/>
  <c r="BJ38" i="11"/>
  <c r="AM23" i="11"/>
  <c r="AE4" i="11"/>
  <c r="AH5" i="11"/>
  <c r="AH7" i="11"/>
  <c r="AL9" i="11"/>
  <c r="J9" i="11"/>
  <c r="AJ9" i="11"/>
  <c r="AM9" i="11" s="1"/>
  <c r="O10" i="11"/>
  <c r="CC10" i="11"/>
  <c r="AK13" i="11"/>
  <c r="J13" i="11"/>
  <c r="AC29" i="11"/>
  <c r="BB29" i="11"/>
  <c r="BQ29" i="11"/>
  <c r="AF38" i="11"/>
  <c r="BS38" i="11"/>
  <c r="BV38" i="11" s="1"/>
  <c r="AC43" i="11"/>
  <c r="O46" i="11"/>
  <c r="AA14" i="11"/>
  <c r="AC7" i="11"/>
  <c r="AJ46" i="11"/>
  <c r="CD12" i="11"/>
  <c r="AF4" i="11"/>
  <c r="O9" i="11"/>
  <c r="AT9" i="11"/>
  <c r="AU13" i="11"/>
  <c r="O13" i="11"/>
  <c r="BE13" i="11"/>
  <c r="BG13" i="11" s="1"/>
  <c r="AC15" i="11"/>
  <c r="AR29" i="11"/>
  <c r="BG29" i="11"/>
  <c r="CF29" i="11"/>
  <c r="BY38" i="11"/>
  <c r="AC46" i="11"/>
  <c r="AT46" i="11"/>
  <c r="AT12" i="11"/>
  <c r="O12" i="11"/>
  <c r="AJ11" i="11"/>
  <c r="J11" i="11"/>
  <c r="BP12" i="11"/>
  <c r="T12" i="11"/>
  <c r="AM7" i="11"/>
  <c r="AU11" i="11"/>
  <c r="O11" i="11"/>
  <c r="J12" i="11"/>
  <c r="AC13" i="11"/>
  <c r="CD13" i="11"/>
  <c r="AB35" i="11"/>
  <c r="AC35" i="11" s="1"/>
  <c r="CC38" i="11"/>
  <c r="AH45" i="11"/>
  <c r="CF46" i="11"/>
  <c r="AM26" i="11"/>
  <c r="AH29" i="11"/>
  <c r="AW29" i="11"/>
  <c r="BV29" i="11"/>
  <c r="BG38" i="11"/>
  <c r="AR15" i="12"/>
  <c r="CF13" i="12"/>
  <c r="O38" i="12"/>
  <c r="J38" i="12"/>
  <c r="BL13" i="12"/>
  <c r="BP15" i="11"/>
  <c r="T15" i="11"/>
  <c r="BA15" i="11"/>
  <c r="AO15" i="11"/>
  <c r="J15" i="11"/>
  <c r="AV15" i="11"/>
  <c r="O15" i="11"/>
  <c r="BA5" i="13"/>
  <c r="AZ5" i="13"/>
  <c r="M5" i="13"/>
  <c r="AY5" i="13"/>
  <c r="AW44" i="13"/>
  <c r="AZ44" i="13"/>
  <c r="M44" i="13"/>
  <c r="AY44" i="13"/>
  <c r="BA44" i="13"/>
  <c r="Z28" i="13"/>
  <c r="Z26" i="13"/>
  <c r="Z22" i="13"/>
  <c r="Z21" i="13"/>
  <c r="Z25" i="13"/>
  <c r="Z23" i="13"/>
  <c r="Z24" i="13"/>
  <c r="Z27" i="13"/>
  <c r="Z16" i="13"/>
  <c r="AA17" i="13"/>
  <c r="AR13" i="12"/>
  <c r="AM13" i="12"/>
  <c r="BG9" i="12"/>
  <c r="BV11" i="12"/>
  <c r="BQ15" i="12"/>
  <c r="CA15" i="12"/>
  <c r="BB9" i="12"/>
  <c r="BL9" i="12"/>
  <c r="AM4" i="12"/>
  <c r="T38" i="12"/>
  <c r="T44" i="12"/>
  <c r="CA9" i="12"/>
  <c r="CA10" i="12"/>
  <c r="AR10" i="12"/>
  <c r="BV9" i="12"/>
  <c r="BL10" i="12"/>
  <c r="AW15" i="12"/>
  <c r="AV44" i="12"/>
  <c r="AU44" i="12"/>
  <c r="AT44" i="12"/>
  <c r="AR44" i="12"/>
  <c r="AR5" i="12"/>
  <c r="AJ28" i="12"/>
  <c r="AM28" i="12" s="1"/>
  <c r="AM25" i="12"/>
  <c r="Z18" i="12"/>
  <c r="AV5" i="12"/>
  <c r="AU5" i="12"/>
  <c r="AT5" i="12"/>
  <c r="AQ15" i="11"/>
  <c r="BU15" i="11"/>
  <c r="AP15" i="11"/>
  <c r="BT15" i="11"/>
  <c r="AT15" i="11"/>
  <c r="CD15" i="11"/>
  <c r="AU15" i="11"/>
  <c r="CE15" i="11"/>
  <c r="AZ15" i="11"/>
  <c r="BB15" i="11" s="1"/>
  <c r="BK15" i="11"/>
  <c r="AL15" i="11"/>
  <c r="BN15" i="11"/>
  <c r="I44" i="11"/>
  <c r="J44" i="11" s="1"/>
  <c r="H4" i="11"/>
  <c r="AK44" i="11"/>
  <c r="AL44" i="11"/>
  <c r="AA36" i="11"/>
  <c r="AB36" i="11"/>
  <c r="AE33" i="11"/>
  <c r="AH33" i="11" s="1"/>
  <c r="BI13" i="11"/>
  <c r="BX13" i="11"/>
  <c r="BY13" i="11"/>
  <c r="AV13" i="11"/>
  <c r="AW13" i="11" s="1"/>
  <c r="BD13" i="11"/>
  <c r="CC13" i="11"/>
  <c r="BJ13" i="11"/>
  <c r="AU12" i="11"/>
  <c r="BZ12" i="11"/>
  <c r="AV12" i="11"/>
  <c r="BE12" i="11"/>
  <c r="BI12" i="11"/>
  <c r="BN12" i="11"/>
  <c r="BY12" i="11"/>
  <c r="AV11" i="11"/>
  <c r="BZ11" i="11"/>
  <c r="AY11" i="11"/>
  <c r="CC11" i="11"/>
  <c r="AZ11" i="11"/>
  <c r="CD11" i="11"/>
  <c r="AO11" i="11"/>
  <c r="BI11" i="11"/>
  <c r="AP11" i="11"/>
  <c r="BJ11" i="11"/>
  <c r="AT11" i="11"/>
  <c r="AW11" i="11" s="1"/>
  <c r="AT10" i="11"/>
  <c r="AW10" i="11" s="1"/>
  <c r="AU10" i="11"/>
  <c r="CD10" i="11"/>
  <c r="CF10" i="11" s="1"/>
  <c r="BD10" i="11"/>
  <c r="AP10" i="11"/>
  <c r="BJ10" i="11"/>
  <c r="BT10" i="11"/>
  <c r="AV10" i="11"/>
  <c r="BX10" i="11"/>
  <c r="AY10" i="11"/>
  <c r="BY10" i="11"/>
  <c r="AK10" i="11"/>
  <c r="BF10" i="11"/>
  <c r="AO10" i="11"/>
  <c r="BI10" i="11"/>
  <c r="BF9" i="11"/>
  <c r="AP9" i="11"/>
  <c r="BJ9" i="11"/>
  <c r="AU9" i="11"/>
  <c r="BP9" i="11"/>
  <c r="AV9" i="11"/>
  <c r="BS9" i="11"/>
  <c r="BT9" i="11"/>
  <c r="AO9" i="11"/>
  <c r="BI9" i="11"/>
  <c r="CD9" i="11"/>
  <c r="CF9" i="11" s="1"/>
  <c r="AA8" i="11"/>
  <c r="AB8" i="11"/>
  <c r="Z8" i="11"/>
  <c r="AL5" i="11"/>
  <c r="BN10" i="11"/>
  <c r="BN11" i="11"/>
  <c r="BQ9" i="11"/>
  <c r="AC9" i="11"/>
  <c r="BD9" i="11"/>
  <c r="BE11" i="11"/>
  <c r="AK11" i="11"/>
  <c r="BO11" i="11"/>
  <c r="AK12" i="11"/>
  <c r="AJ12" i="11"/>
  <c r="BS12" i="11"/>
  <c r="AJ13" i="11"/>
  <c r="AL13" i="11"/>
  <c r="BU13" i="11"/>
  <c r="BT13" i="11"/>
  <c r="BS13" i="11"/>
  <c r="AC11" i="11"/>
  <c r="AL11" i="11"/>
  <c r="BP11" i="11"/>
  <c r="AQ12" i="11"/>
  <c r="AP12" i="11"/>
  <c r="AO12" i="11"/>
  <c r="BT12" i="11"/>
  <c r="AQ13" i="11"/>
  <c r="AP13" i="11"/>
  <c r="AO13" i="11"/>
  <c r="AJ5" i="11"/>
  <c r="BX9" i="11"/>
  <c r="Z4" i="11"/>
  <c r="AK5" i="11"/>
  <c r="BY9" i="11"/>
  <c r="BO10" i="11"/>
  <c r="BU11" i="11"/>
  <c r="BS11" i="11"/>
  <c r="BF11" i="11"/>
  <c r="BG11" i="11" s="1"/>
  <c r="BA12" i="11"/>
  <c r="AY12" i="11"/>
  <c r="BA13" i="11"/>
  <c r="AZ13" i="11"/>
  <c r="AA4" i="11"/>
  <c r="BA9" i="11"/>
  <c r="AZ9" i="11"/>
  <c r="BP10" i="11"/>
  <c r="BY11" i="11"/>
  <c r="BF12" i="11"/>
  <c r="AB4" i="11"/>
  <c r="AJ10" i="11"/>
  <c r="BP13" i="11"/>
  <c r="BO13" i="11"/>
  <c r="BN13" i="11"/>
  <c r="I5" i="11"/>
  <c r="J5" i="11" s="1"/>
  <c r="AH6" i="11"/>
  <c r="AZ10" i="11"/>
  <c r="AJ15" i="11"/>
  <c r="BJ15" i="11"/>
  <c r="BX15" i="11"/>
  <c r="AJ22" i="11"/>
  <c r="BP38" i="11"/>
  <c r="BN38" i="11"/>
  <c r="BO38" i="11"/>
  <c r="AC12" i="11"/>
  <c r="BY15" i="11"/>
  <c r="AK22" i="11"/>
  <c r="AK25" i="11" s="1"/>
  <c r="AK28" i="11" s="1"/>
  <c r="BS10" i="11"/>
  <c r="BO12" i="11"/>
  <c r="BO15" i="11"/>
  <c r="Z33" i="11"/>
  <c r="AE35" i="11"/>
  <c r="AG35" i="11"/>
  <c r="AQ38" i="11"/>
  <c r="AO38" i="11"/>
  <c r="BD15" i="11"/>
  <c r="AA33" i="11"/>
  <c r="AH15" i="11"/>
  <c r="BE15" i="11"/>
  <c r="Z41" i="11"/>
  <c r="AA41" i="11"/>
  <c r="AB41" i="11"/>
  <c r="AK38" i="11"/>
  <c r="AP46" i="11"/>
  <c r="AQ46" i="11"/>
  <c r="AO46" i="11"/>
  <c r="J46" i="11"/>
  <c r="BA38" i="11"/>
  <c r="AZ38" i="11"/>
  <c r="AY38" i="11"/>
  <c r="AF36" i="11"/>
  <c r="AG36" i="11"/>
  <c r="Y47" i="11"/>
  <c r="Y49" i="11" s="1"/>
  <c r="AV38" i="11"/>
  <c r="AT38" i="11"/>
  <c r="BT38" i="11"/>
  <c r="AC40" i="11"/>
  <c r="V38" i="11"/>
  <c r="CE38" i="11"/>
  <c r="AK46" i="11"/>
  <c r="AM46" i="11" s="1"/>
  <c r="AU46" i="11"/>
  <c r="AW46" i="11" s="1"/>
  <c r="H36" i="8"/>
  <c r="AL36" i="8" s="1"/>
  <c r="I36" i="8"/>
  <c r="H33" i="8"/>
  <c r="AK33" i="8" s="1"/>
  <c r="I33" i="8"/>
  <c r="P33" i="8"/>
  <c r="BP33" i="8" s="1"/>
  <c r="Q33" i="8"/>
  <c r="BU33" i="8" s="1"/>
  <c r="R33" i="8"/>
  <c r="BZ33" i="8" s="1"/>
  <c r="S33" i="8"/>
  <c r="CE33" i="8" s="1"/>
  <c r="CE46" i="8"/>
  <c r="CD46" i="8"/>
  <c r="CC46" i="8"/>
  <c r="BZ46" i="8"/>
  <c r="BY46" i="8"/>
  <c r="BX46" i="8"/>
  <c r="BU46" i="8"/>
  <c r="BT46" i="8"/>
  <c r="BS46" i="8"/>
  <c r="BP46" i="8"/>
  <c r="BO46" i="8"/>
  <c r="BN46" i="8"/>
  <c r="BK46" i="8"/>
  <c r="BJ46" i="8"/>
  <c r="BI46" i="8"/>
  <c r="BF46" i="8"/>
  <c r="BE46" i="8"/>
  <c r="BD46" i="8"/>
  <c r="BA46" i="8"/>
  <c r="AZ46" i="8"/>
  <c r="AY46" i="8"/>
  <c r="AB46" i="8"/>
  <c r="AA46" i="8"/>
  <c r="Z46" i="8"/>
  <c r="T46" i="8"/>
  <c r="K46" i="8"/>
  <c r="AT46" i="8" s="1"/>
  <c r="I46" i="8"/>
  <c r="AP46" i="8" s="1"/>
  <c r="H46" i="8"/>
  <c r="AL46" i="8" s="1"/>
  <c r="G46" i="8"/>
  <c r="AF46" i="8" s="1"/>
  <c r="AG45" i="8"/>
  <c r="AF45" i="8"/>
  <c r="AE45" i="8"/>
  <c r="AB45" i="8"/>
  <c r="AA45" i="8"/>
  <c r="Z45" i="8"/>
  <c r="AG44" i="8"/>
  <c r="AF44" i="8"/>
  <c r="AE44" i="8"/>
  <c r="AB44" i="8"/>
  <c r="AA44" i="8"/>
  <c r="Z44" i="8"/>
  <c r="H44" i="8"/>
  <c r="AL44" i="8" s="1"/>
  <c r="AL43" i="8"/>
  <c r="AK43" i="8"/>
  <c r="AJ43" i="8"/>
  <c r="AG43" i="8"/>
  <c r="AF43" i="8"/>
  <c r="AE43" i="8"/>
  <c r="AB43" i="8"/>
  <c r="AA43" i="8"/>
  <c r="Z43" i="8"/>
  <c r="Y43" i="8"/>
  <c r="Y42" i="8"/>
  <c r="AB40" i="8"/>
  <c r="AA40" i="8"/>
  <c r="Z40" i="8"/>
  <c r="AB39" i="8"/>
  <c r="AA39" i="8"/>
  <c r="Z39" i="8"/>
  <c r="S38" i="8"/>
  <c r="W38" i="8" s="1"/>
  <c r="R38" i="8"/>
  <c r="Q38" i="8"/>
  <c r="BS38" i="8" s="1"/>
  <c r="P38" i="8"/>
  <c r="BN38" i="8" s="1"/>
  <c r="N38" i="8"/>
  <c r="BI38" i="8" s="1"/>
  <c r="M38" i="8"/>
  <c r="BD38" i="8" s="1"/>
  <c r="L38" i="8"/>
  <c r="AZ38" i="8" s="1"/>
  <c r="K38" i="8"/>
  <c r="AT38" i="8" s="1"/>
  <c r="I38" i="8"/>
  <c r="AO38" i="8" s="1"/>
  <c r="H38" i="8"/>
  <c r="G38" i="8"/>
  <c r="F38" i="8"/>
  <c r="Z38" i="8" s="1"/>
  <c r="Y36" i="8"/>
  <c r="S36" i="8"/>
  <c r="CE36" i="8" s="1"/>
  <c r="R36" i="8"/>
  <c r="BZ36" i="8" s="1"/>
  <c r="Q36" i="8"/>
  <c r="BU36" i="8" s="1"/>
  <c r="P36" i="8"/>
  <c r="AG36" i="8"/>
  <c r="Z36" i="8"/>
  <c r="S35" i="8"/>
  <c r="R35" i="8"/>
  <c r="BZ35" i="8" s="1"/>
  <c r="Q35" i="8"/>
  <c r="BT35" i="8" s="1"/>
  <c r="P35" i="8"/>
  <c r="BO35" i="8" s="1"/>
  <c r="H35" i="8"/>
  <c r="G35" i="8"/>
  <c r="AF35" i="8" s="1"/>
  <c r="F35" i="8"/>
  <c r="AA35" i="8" s="1"/>
  <c r="CE34" i="8"/>
  <c r="CD34" i="8"/>
  <c r="CC34" i="8"/>
  <c r="BZ34" i="8"/>
  <c r="BY34" i="8"/>
  <c r="BX34" i="8"/>
  <c r="BU34" i="8"/>
  <c r="BT34" i="8"/>
  <c r="BS34" i="8"/>
  <c r="BP34" i="8"/>
  <c r="BO34" i="8"/>
  <c r="BN34" i="8"/>
  <c r="AL34" i="8"/>
  <c r="AK34" i="8"/>
  <c r="AJ34" i="8"/>
  <c r="AG34" i="8"/>
  <c r="AF34" i="8"/>
  <c r="AE34" i="8"/>
  <c r="AB34" i="8"/>
  <c r="AA34" i="8"/>
  <c r="Z34" i="8"/>
  <c r="Y34" i="8"/>
  <c r="CD33" i="8"/>
  <c r="AL33" i="8"/>
  <c r="Y33" i="8"/>
  <c r="AE33" i="8"/>
  <c r="AB33" i="8"/>
  <c r="CE29" i="8"/>
  <c r="CD29" i="8"/>
  <c r="CC29" i="8"/>
  <c r="BZ29" i="8"/>
  <c r="BY29" i="8"/>
  <c r="BX29" i="8"/>
  <c r="BU29" i="8"/>
  <c r="BT29" i="8"/>
  <c r="BS29" i="8"/>
  <c r="BP29" i="8"/>
  <c r="BO29" i="8"/>
  <c r="BN29" i="8"/>
  <c r="BK29" i="8"/>
  <c r="BJ29" i="8"/>
  <c r="BI29" i="8"/>
  <c r="BF29" i="8"/>
  <c r="BE29" i="8"/>
  <c r="BD29" i="8"/>
  <c r="BA29" i="8"/>
  <c r="AZ29" i="8"/>
  <c r="AY29" i="8"/>
  <c r="AV29" i="8"/>
  <c r="AU29" i="8"/>
  <c r="AT29" i="8"/>
  <c r="AQ29" i="8"/>
  <c r="AP29" i="8"/>
  <c r="AO29" i="8"/>
  <c r="AL29" i="8"/>
  <c r="AK29" i="8"/>
  <c r="AJ29" i="8"/>
  <c r="AG29" i="8"/>
  <c r="AF29" i="8"/>
  <c r="AE29" i="8"/>
  <c r="AB29" i="8"/>
  <c r="AA29" i="8"/>
  <c r="Z29" i="8"/>
  <c r="W28" i="8"/>
  <c r="V28" i="8"/>
  <c r="U28" i="8"/>
  <c r="S28" i="8"/>
  <c r="R28" i="8"/>
  <c r="Q28" i="8"/>
  <c r="P28" i="8"/>
  <c r="W27" i="8"/>
  <c r="V27" i="8"/>
  <c r="U27" i="8"/>
  <c r="S27" i="8"/>
  <c r="R27" i="8"/>
  <c r="Q27" i="8"/>
  <c r="P27" i="8"/>
  <c r="W26" i="8"/>
  <c r="V26" i="8"/>
  <c r="U26" i="8"/>
  <c r="S26" i="8"/>
  <c r="R26" i="8"/>
  <c r="Q26" i="8"/>
  <c r="P26" i="8"/>
  <c r="N26" i="8"/>
  <c r="M26" i="8"/>
  <c r="L26" i="8"/>
  <c r="K26" i="8"/>
  <c r="W25" i="8"/>
  <c r="V25" i="8"/>
  <c r="U25" i="8"/>
  <c r="S25" i="8"/>
  <c r="R25" i="8"/>
  <c r="Q25" i="8"/>
  <c r="P25" i="8"/>
  <c r="N25" i="8"/>
  <c r="M25" i="8"/>
  <c r="L25" i="8"/>
  <c r="K25" i="8"/>
  <c r="W24" i="8"/>
  <c r="V24" i="8"/>
  <c r="U24" i="8"/>
  <c r="S24" i="8"/>
  <c r="R24" i="8"/>
  <c r="Q24" i="8"/>
  <c r="P24" i="8"/>
  <c r="N24" i="8"/>
  <c r="M24" i="8"/>
  <c r="L24" i="8"/>
  <c r="K24" i="8"/>
  <c r="AL23" i="8"/>
  <c r="AK23" i="8"/>
  <c r="AK26" i="8" s="1"/>
  <c r="AJ23" i="8"/>
  <c r="AJ26" i="8" s="1"/>
  <c r="W23" i="8"/>
  <c r="V23" i="8"/>
  <c r="U23" i="8"/>
  <c r="S23" i="8"/>
  <c r="R23" i="8"/>
  <c r="Q23" i="8"/>
  <c r="P23" i="8"/>
  <c r="N23" i="8"/>
  <c r="M23" i="8"/>
  <c r="L23" i="8"/>
  <c r="K23" i="8"/>
  <c r="W22" i="8"/>
  <c r="V22" i="8"/>
  <c r="U22" i="8"/>
  <c r="S22" i="8"/>
  <c r="R22" i="8"/>
  <c r="Q22" i="8"/>
  <c r="P22" i="8"/>
  <c r="N22" i="8"/>
  <c r="M22" i="8"/>
  <c r="L22" i="8"/>
  <c r="K22" i="8"/>
  <c r="I22" i="8"/>
  <c r="H22" i="8"/>
  <c r="AL22" i="8" s="1"/>
  <c r="AL25" i="8" s="1"/>
  <c r="AL28" i="8" s="1"/>
  <c r="W21" i="8"/>
  <c r="V21" i="8"/>
  <c r="U21" i="8"/>
  <c r="S21" i="8"/>
  <c r="R21" i="8"/>
  <c r="Q21" i="8"/>
  <c r="P21" i="8"/>
  <c r="N21" i="8"/>
  <c r="M21" i="8"/>
  <c r="L21" i="8"/>
  <c r="K21" i="8"/>
  <c r="I21" i="8"/>
  <c r="H21" i="8"/>
  <c r="AG15" i="8"/>
  <c r="AF15" i="8"/>
  <c r="AE15" i="8"/>
  <c r="AB15" i="8"/>
  <c r="AA15" i="8"/>
  <c r="Z15" i="8"/>
  <c r="S15" i="8"/>
  <c r="CE15" i="8" s="1"/>
  <c r="R15" i="8"/>
  <c r="BY15" i="8" s="1"/>
  <c r="Q15" i="8"/>
  <c r="P15" i="8"/>
  <c r="BN15" i="8" s="1"/>
  <c r="N15" i="8"/>
  <c r="BK15" i="8" s="1"/>
  <c r="M15" i="8"/>
  <c r="L15" i="8"/>
  <c r="AY15" i="8" s="1"/>
  <c r="K15" i="8"/>
  <c r="AU15" i="8" s="1"/>
  <c r="I15" i="8"/>
  <c r="AO15" i="8" s="1"/>
  <c r="H15" i="8"/>
  <c r="F14" i="8"/>
  <c r="AG13" i="8"/>
  <c r="AF13" i="8"/>
  <c r="AE13" i="8"/>
  <c r="AB13" i="8"/>
  <c r="AA13" i="8"/>
  <c r="Z13" i="8"/>
  <c r="W13" i="8"/>
  <c r="V13" i="8"/>
  <c r="U13" i="8"/>
  <c r="S13" i="8"/>
  <c r="CD13" i="8" s="1"/>
  <c r="R13" i="8"/>
  <c r="BY13" i="8" s="1"/>
  <c r="Q13" i="8"/>
  <c r="BT13" i="8" s="1"/>
  <c r="P13" i="8"/>
  <c r="N13" i="8"/>
  <c r="BJ13" i="8" s="1"/>
  <c r="M13" i="8"/>
  <c r="BE13" i="8" s="1"/>
  <c r="L13" i="8"/>
  <c r="AZ13" i="8" s="1"/>
  <c r="K13" i="8"/>
  <c r="I13" i="8"/>
  <c r="AP13" i="8" s="1"/>
  <c r="H13" i="8"/>
  <c r="AG12" i="8"/>
  <c r="AF12" i="8"/>
  <c r="AE12" i="8"/>
  <c r="AB12" i="8"/>
  <c r="AA12" i="8"/>
  <c r="Z12" i="8"/>
  <c r="W12" i="8"/>
  <c r="V12" i="8"/>
  <c r="U12" i="8"/>
  <c r="S12" i="8"/>
  <c r="CD12" i="8" s="1"/>
  <c r="R12" i="8"/>
  <c r="BY12" i="8" s="1"/>
  <c r="Q12" i="8"/>
  <c r="BT12" i="8" s="1"/>
  <c r="P12" i="8"/>
  <c r="N12" i="8"/>
  <c r="BJ12" i="8" s="1"/>
  <c r="M12" i="8"/>
  <c r="BE12" i="8" s="1"/>
  <c r="L12" i="8"/>
  <c r="AZ12" i="8" s="1"/>
  <c r="K12" i="8"/>
  <c r="I12" i="8"/>
  <c r="AP12" i="8" s="1"/>
  <c r="H12" i="8"/>
  <c r="AG11" i="8"/>
  <c r="AF11" i="8"/>
  <c r="AE11" i="8"/>
  <c r="AB11" i="8"/>
  <c r="AA11" i="8"/>
  <c r="Z11" i="8"/>
  <c r="W11" i="8"/>
  <c r="V11" i="8"/>
  <c r="U11" i="8"/>
  <c r="S11" i="8"/>
  <c r="CD11" i="8" s="1"/>
  <c r="R11" i="8"/>
  <c r="BY11" i="8" s="1"/>
  <c r="Q11" i="8"/>
  <c r="BT11" i="8" s="1"/>
  <c r="P11" i="8"/>
  <c r="N11" i="8"/>
  <c r="BJ11" i="8" s="1"/>
  <c r="M11" i="8"/>
  <c r="BE11" i="8" s="1"/>
  <c r="L11" i="8"/>
  <c r="AZ11" i="8" s="1"/>
  <c r="K11" i="8"/>
  <c r="I11" i="8"/>
  <c r="AP11" i="8" s="1"/>
  <c r="H11" i="8"/>
  <c r="AG10" i="8"/>
  <c r="AF10" i="8"/>
  <c r="AE10" i="8"/>
  <c r="AB10" i="8"/>
  <c r="AA10" i="8"/>
  <c r="Z10" i="8"/>
  <c r="W10" i="8"/>
  <c r="V10" i="8"/>
  <c r="U10" i="8"/>
  <c r="S10" i="8"/>
  <c r="CD10" i="8" s="1"/>
  <c r="R10" i="8"/>
  <c r="BY10" i="8" s="1"/>
  <c r="Q10" i="8"/>
  <c r="BT10" i="8" s="1"/>
  <c r="P10" i="8"/>
  <c r="N10" i="8"/>
  <c r="BJ10" i="8" s="1"/>
  <c r="M10" i="8"/>
  <c r="BE10" i="8" s="1"/>
  <c r="L10" i="8"/>
  <c r="AZ10" i="8" s="1"/>
  <c r="K10" i="8"/>
  <c r="AV10" i="8" s="1"/>
  <c r="I10" i="8"/>
  <c r="AP10" i="8" s="1"/>
  <c r="H10" i="8"/>
  <c r="AG9" i="8"/>
  <c r="AF9" i="8"/>
  <c r="AE9" i="8"/>
  <c r="AB9" i="8"/>
  <c r="AA9" i="8"/>
  <c r="Z9" i="8"/>
  <c r="W9" i="8"/>
  <c r="V9" i="8"/>
  <c r="U9" i="8"/>
  <c r="S9" i="8"/>
  <c r="CD9" i="8" s="1"/>
  <c r="R9" i="8"/>
  <c r="BY9" i="8" s="1"/>
  <c r="Q9" i="8"/>
  <c r="BT9" i="8" s="1"/>
  <c r="P9" i="8"/>
  <c r="BN9" i="8" s="1"/>
  <c r="N9" i="8"/>
  <c r="BJ9" i="8" s="1"/>
  <c r="M9" i="8"/>
  <c r="BE9" i="8" s="1"/>
  <c r="L9" i="8"/>
  <c r="AZ9" i="8" s="1"/>
  <c r="K9" i="8"/>
  <c r="AV9" i="8" s="1"/>
  <c r="I9" i="8"/>
  <c r="AP9" i="8" s="1"/>
  <c r="H9" i="8"/>
  <c r="Y8" i="8"/>
  <c r="AQ7" i="8"/>
  <c r="AP7" i="8"/>
  <c r="AO7" i="8"/>
  <c r="AL7" i="8"/>
  <c r="AK7" i="8"/>
  <c r="AJ7" i="8"/>
  <c r="AG7" i="8"/>
  <c r="AF7" i="8"/>
  <c r="AE7" i="8"/>
  <c r="AB7" i="8"/>
  <c r="AA7" i="8"/>
  <c r="Z7" i="8"/>
  <c r="J7" i="8"/>
  <c r="AG6" i="8"/>
  <c r="AF6" i="8"/>
  <c r="AE6" i="8"/>
  <c r="AB6" i="8"/>
  <c r="AA6" i="8"/>
  <c r="Z6" i="8"/>
  <c r="AG5" i="8"/>
  <c r="AF5" i="8"/>
  <c r="AE5" i="8"/>
  <c r="AB5" i="8"/>
  <c r="AA5" i="8"/>
  <c r="Z5" i="8"/>
  <c r="H5" i="8"/>
  <c r="AK5" i="8" s="1"/>
  <c r="G4" i="8"/>
  <c r="AG4" i="8" s="1"/>
  <c r="F4" i="8"/>
  <c r="F8" i="8" s="1"/>
  <c r="Z8" i="8" s="1"/>
  <c r="CF46" i="7"/>
  <c r="CE46" i="7"/>
  <c r="CD46" i="7"/>
  <c r="CC46" i="7"/>
  <c r="BZ46" i="7"/>
  <c r="BY46" i="7"/>
  <c r="BX46" i="7"/>
  <c r="BU46" i="7"/>
  <c r="BT46" i="7"/>
  <c r="BS46" i="7"/>
  <c r="BP46" i="7"/>
  <c r="BO46" i="7"/>
  <c r="BN46" i="7"/>
  <c r="BK46" i="7"/>
  <c r="BJ46" i="7"/>
  <c r="BI46" i="7"/>
  <c r="BF46" i="7"/>
  <c r="BE46" i="7"/>
  <c r="BD46" i="7"/>
  <c r="BA46" i="7"/>
  <c r="AZ46" i="7"/>
  <c r="AY46" i="7"/>
  <c r="AB46" i="7"/>
  <c r="AA46" i="7"/>
  <c r="Z46" i="7"/>
  <c r="T46" i="7"/>
  <c r="K46" i="7"/>
  <c r="AV46" i="7" s="1"/>
  <c r="I46" i="7"/>
  <c r="AP46" i="7" s="1"/>
  <c r="H46" i="7"/>
  <c r="AL46" i="7" s="1"/>
  <c r="G46" i="7"/>
  <c r="AF46" i="7" s="1"/>
  <c r="AG45" i="7"/>
  <c r="AF45" i="7"/>
  <c r="AE45" i="7"/>
  <c r="AB45" i="7"/>
  <c r="AA45" i="7"/>
  <c r="Z45" i="7"/>
  <c r="AG44" i="7"/>
  <c r="AF44" i="7"/>
  <c r="AE44" i="7"/>
  <c r="AB44" i="7"/>
  <c r="AA44" i="7"/>
  <c r="Z44" i="7"/>
  <c r="H44" i="7"/>
  <c r="AK44" i="7" s="1"/>
  <c r="AG43" i="7"/>
  <c r="AF43" i="7"/>
  <c r="AE43" i="7"/>
  <c r="AB43" i="7"/>
  <c r="AA43" i="7"/>
  <c r="Z43" i="7"/>
  <c r="Y43" i="7"/>
  <c r="Y42" i="7"/>
  <c r="F41" i="7"/>
  <c r="AB40" i="7"/>
  <c r="AA40" i="7"/>
  <c r="Z40" i="7"/>
  <c r="AB39" i="7"/>
  <c r="AA39" i="7"/>
  <c r="Z39" i="7"/>
  <c r="S38" i="7"/>
  <c r="CD38" i="7" s="1"/>
  <c r="R38" i="7"/>
  <c r="BZ38" i="7" s="1"/>
  <c r="Q38" i="7"/>
  <c r="BU38" i="7" s="1"/>
  <c r="P38" i="7"/>
  <c r="BP38" i="7" s="1"/>
  <c r="N38" i="7"/>
  <c r="BK38" i="7" s="1"/>
  <c r="M38" i="7"/>
  <c r="BF38" i="7" s="1"/>
  <c r="L38" i="7"/>
  <c r="K38" i="7"/>
  <c r="AT38" i="7" s="1"/>
  <c r="I38" i="7"/>
  <c r="AQ38" i="7" s="1"/>
  <c r="H38" i="7"/>
  <c r="G38" i="7"/>
  <c r="AF38" i="7" s="1"/>
  <c r="F38" i="7"/>
  <c r="AB38" i="7" s="1"/>
  <c r="Y36" i="7"/>
  <c r="G36" i="7"/>
  <c r="AE36" i="7" s="1"/>
  <c r="F36" i="7"/>
  <c r="AA36" i="7" s="1"/>
  <c r="G35" i="7"/>
  <c r="AE35" i="7" s="1"/>
  <c r="F35" i="7"/>
  <c r="AG34" i="7"/>
  <c r="AF34" i="7"/>
  <c r="AE34" i="7"/>
  <c r="AB34" i="7"/>
  <c r="AA34" i="7"/>
  <c r="Z34" i="7"/>
  <c r="Y34" i="7"/>
  <c r="Y33" i="7"/>
  <c r="G33" i="7"/>
  <c r="AE33" i="7" s="1"/>
  <c r="F33" i="7"/>
  <c r="AA33" i="7" s="1"/>
  <c r="CE29" i="7"/>
  <c r="CD29" i="7"/>
  <c r="CC29" i="7"/>
  <c r="BZ29" i="7"/>
  <c r="BY29" i="7"/>
  <c r="BX29" i="7"/>
  <c r="BU29" i="7"/>
  <c r="BT29" i="7"/>
  <c r="BS29" i="7"/>
  <c r="BP29" i="7"/>
  <c r="BO29" i="7"/>
  <c r="BN29" i="7"/>
  <c r="BK29" i="7"/>
  <c r="BJ29" i="7"/>
  <c r="BI29" i="7"/>
  <c r="BF29" i="7"/>
  <c r="BE29" i="7"/>
  <c r="BD29" i="7"/>
  <c r="BA29" i="7"/>
  <c r="AZ29" i="7"/>
  <c r="AY29" i="7"/>
  <c r="AV29" i="7"/>
  <c r="AU29" i="7"/>
  <c r="AT29" i="7"/>
  <c r="AQ29" i="7"/>
  <c r="AP29" i="7"/>
  <c r="AO29" i="7"/>
  <c r="AL29" i="7"/>
  <c r="AK29" i="7"/>
  <c r="AJ29" i="7"/>
  <c r="AG29" i="7"/>
  <c r="AF29" i="7"/>
  <c r="AE29" i="7"/>
  <c r="AB29" i="7"/>
  <c r="AA29" i="7"/>
  <c r="Z29" i="7"/>
  <c r="W28" i="7"/>
  <c r="V28" i="7"/>
  <c r="U28" i="7"/>
  <c r="S28" i="7"/>
  <c r="R28" i="7"/>
  <c r="Q28" i="7"/>
  <c r="P28" i="7"/>
  <c r="W27" i="7"/>
  <c r="V27" i="7"/>
  <c r="U27" i="7"/>
  <c r="S27" i="7"/>
  <c r="R27" i="7"/>
  <c r="Q27" i="7"/>
  <c r="P27" i="7"/>
  <c r="W26" i="7"/>
  <c r="V26" i="7"/>
  <c r="U26" i="7"/>
  <c r="S26" i="7"/>
  <c r="R26" i="7"/>
  <c r="Q26" i="7"/>
  <c r="P26" i="7"/>
  <c r="N26" i="7"/>
  <c r="M26" i="7"/>
  <c r="L26" i="7"/>
  <c r="K26" i="7"/>
  <c r="W25" i="7"/>
  <c r="V25" i="7"/>
  <c r="U25" i="7"/>
  <c r="S25" i="7"/>
  <c r="R25" i="7"/>
  <c r="Q25" i="7"/>
  <c r="P25" i="7"/>
  <c r="N25" i="7"/>
  <c r="M25" i="7"/>
  <c r="L25" i="7"/>
  <c r="K25" i="7"/>
  <c r="W24" i="7"/>
  <c r="V24" i="7"/>
  <c r="U24" i="7"/>
  <c r="S24" i="7"/>
  <c r="R24" i="7"/>
  <c r="Q24" i="7"/>
  <c r="P24" i="7"/>
  <c r="N24" i="7"/>
  <c r="M24" i="7"/>
  <c r="L24" i="7"/>
  <c r="K24" i="7"/>
  <c r="AL23" i="7"/>
  <c r="AL26" i="7" s="1"/>
  <c r="AK23" i="7"/>
  <c r="AK26" i="7" s="1"/>
  <c r="AJ23" i="7"/>
  <c r="W23" i="7"/>
  <c r="V23" i="7"/>
  <c r="U23" i="7"/>
  <c r="S23" i="7"/>
  <c r="R23" i="7"/>
  <c r="Q23" i="7"/>
  <c r="P23" i="7"/>
  <c r="N23" i="7"/>
  <c r="M23" i="7"/>
  <c r="L23" i="7"/>
  <c r="K23" i="7"/>
  <c r="W22" i="7"/>
  <c r="V22" i="7"/>
  <c r="U22" i="7"/>
  <c r="S22" i="7"/>
  <c r="R22" i="7"/>
  <c r="Q22" i="7"/>
  <c r="P22" i="7"/>
  <c r="N22" i="7"/>
  <c r="M22" i="7"/>
  <c r="L22" i="7"/>
  <c r="K22" i="7"/>
  <c r="I22" i="7"/>
  <c r="H22" i="7"/>
  <c r="AK22" i="7" s="1"/>
  <c r="AK25" i="7" s="1"/>
  <c r="AK28" i="7" s="1"/>
  <c r="W21" i="7"/>
  <c r="V21" i="7"/>
  <c r="U21" i="7"/>
  <c r="S21" i="7"/>
  <c r="R21" i="7"/>
  <c r="Q21" i="7"/>
  <c r="P21" i="7"/>
  <c r="N21" i="7"/>
  <c r="M21" i="7"/>
  <c r="L21" i="7"/>
  <c r="K21" i="7"/>
  <c r="I21" i="7"/>
  <c r="H21" i="7"/>
  <c r="AG15" i="7"/>
  <c r="AF15" i="7"/>
  <c r="AE15" i="7"/>
  <c r="AB15" i="7"/>
  <c r="AA15" i="7"/>
  <c r="Z15" i="7"/>
  <c r="S15" i="7"/>
  <c r="CE15" i="7" s="1"/>
  <c r="R15" i="7"/>
  <c r="BZ15" i="7" s="1"/>
  <c r="Q15" i="7"/>
  <c r="P15" i="7"/>
  <c r="N15" i="7"/>
  <c r="BK15" i="7" s="1"/>
  <c r="M15" i="7"/>
  <c r="BF15" i="7" s="1"/>
  <c r="L15" i="7"/>
  <c r="BA15" i="7" s="1"/>
  <c r="K15" i="7"/>
  <c r="I15" i="7"/>
  <c r="AQ15" i="7" s="1"/>
  <c r="H15" i="7"/>
  <c r="F14" i="7"/>
  <c r="AG13" i="7"/>
  <c r="AF13" i="7"/>
  <c r="AE13" i="7"/>
  <c r="AB13" i="7"/>
  <c r="AA13" i="7"/>
  <c r="Z13" i="7"/>
  <c r="W13" i="7"/>
  <c r="V13" i="7"/>
  <c r="U13" i="7"/>
  <c r="S13" i="7"/>
  <c r="CD13" i="7" s="1"/>
  <c r="R13" i="7"/>
  <c r="BZ13" i="7" s="1"/>
  <c r="Q13" i="7"/>
  <c r="BT13" i="7" s="1"/>
  <c r="P13" i="7"/>
  <c r="N13" i="7"/>
  <c r="BI13" i="7" s="1"/>
  <c r="M13" i="7"/>
  <c r="BE13" i="7" s="1"/>
  <c r="L13" i="7"/>
  <c r="AZ13" i="7" s="1"/>
  <c r="K13" i="7"/>
  <c r="I13" i="7"/>
  <c r="AP13" i="7" s="1"/>
  <c r="H13" i="7"/>
  <c r="AG12" i="7"/>
  <c r="AF12" i="7"/>
  <c r="AE12" i="7"/>
  <c r="AB12" i="7"/>
  <c r="AA12" i="7"/>
  <c r="Z12" i="7"/>
  <c r="W12" i="7"/>
  <c r="V12" i="7"/>
  <c r="U12" i="7"/>
  <c r="S12" i="7"/>
  <c r="CD12" i="7" s="1"/>
  <c r="R12" i="7"/>
  <c r="BY12" i="7" s="1"/>
  <c r="Q12" i="7"/>
  <c r="BT12" i="7" s="1"/>
  <c r="P12" i="7"/>
  <c r="N12" i="7"/>
  <c r="BJ12" i="7" s="1"/>
  <c r="M12" i="7"/>
  <c r="BE12" i="7" s="1"/>
  <c r="L12" i="7"/>
  <c r="K12" i="7"/>
  <c r="I12" i="7"/>
  <c r="AP12" i="7" s="1"/>
  <c r="H12" i="7"/>
  <c r="AG11" i="7"/>
  <c r="AF11" i="7"/>
  <c r="AE11" i="7"/>
  <c r="AB11" i="7"/>
  <c r="AA11" i="7"/>
  <c r="Z11" i="7"/>
  <c r="W11" i="7"/>
  <c r="V11" i="7"/>
  <c r="U11" i="7"/>
  <c r="S11" i="7"/>
  <c r="CC11" i="7" s="1"/>
  <c r="R11" i="7"/>
  <c r="BZ11" i="7" s="1"/>
  <c r="Q11" i="7"/>
  <c r="BT11" i="7" s="1"/>
  <c r="P11" i="7"/>
  <c r="N11" i="7"/>
  <c r="M11" i="7"/>
  <c r="BE11" i="7" s="1"/>
  <c r="L11" i="7"/>
  <c r="AZ11" i="7" s="1"/>
  <c r="K11" i="7"/>
  <c r="I11" i="7"/>
  <c r="AP11" i="7" s="1"/>
  <c r="H11" i="7"/>
  <c r="AG10" i="7"/>
  <c r="AF10" i="7"/>
  <c r="AE10" i="7"/>
  <c r="AB10" i="7"/>
  <c r="AA10" i="7"/>
  <c r="Z10" i="7"/>
  <c r="W10" i="7"/>
  <c r="V10" i="7"/>
  <c r="U10" i="7"/>
  <c r="S10" i="7"/>
  <c r="CD10" i="7" s="1"/>
  <c r="R10" i="7"/>
  <c r="BY10" i="7" s="1"/>
  <c r="Q10" i="7"/>
  <c r="BT10" i="7" s="1"/>
  <c r="P10" i="7"/>
  <c r="N10" i="7"/>
  <c r="BJ10" i="7" s="1"/>
  <c r="M10" i="7"/>
  <c r="BE10" i="7" s="1"/>
  <c r="L10" i="7"/>
  <c r="K10" i="7"/>
  <c r="I10" i="7"/>
  <c r="AP10" i="7" s="1"/>
  <c r="H10" i="7"/>
  <c r="AG9" i="7"/>
  <c r="AF9" i="7"/>
  <c r="AE9" i="7"/>
  <c r="AB9" i="7"/>
  <c r="AA9" i="7"/>
  <c r="Z9" i="7"/>
  <c r="W9" i="7"/>
  <c r="V9" i="7"/>
  <c r="U9" i="7"/>
  <c r="S9" i="7"/>
  <c r="CE9" i="7" s="1"/>
  <c r="R9" i="7"/>
  <c r="BZ9" i="7" s="1"/>
  <c r="Q9" i="7"/>
  <c r="BU9" i="7" s="1"/>
  <c r="P9" i="7"/>
  <c r="N9" i="7"/>
  <c r="BK9" i="7" s="1"/>
  <c r="M9" i="7"/>
  <c r="BF9" i="7" s="1"/>
  <c r="L9" i="7"/>
  <c r="BA9" i="7" s="1"/>
  <c r="K9" i="7"/>
  <c r="I9" i="7"/>
  <c r="AQ9" i="7" s="1"/>
  <c r="H9" i="7"/>
  <c r="Y8" i="7"/>
  <c r="AQ7" i="7"/>
  <c r="AP7" i="7"/>
  <c r="AO7" i="7"/>
  <c r="AL7" i="7"/>
  <c r="AK7" i="7"/>
  <c r="AJ7" i="7"/>
  <c r="AG7" i="7"/>
  <c r="AF7" i="7"/>
  <c r="AE7" i="7"/>
  <c r="AB7" i="7"/>
  <c r="AA7" i="7"/>
  <c r="Z7" i="7"/>
  <c r="J7" i="7"/>
  <c r="AG6" i="7"/>
  <c r="AF6" i="7"/>
  <c r="AE6" i="7"/>
  <c r="AB6" i="7"/>
  <c r="AA6" i="7"/>
  <c r="Z6" i="7"/>
  <c r="AG5" i="7"/>
  <c r="AF5" i="7"/>
  <c r="AE5" i="7"/>
  <c r="AB5" i="7"/>
  <c r="AA5" i="7"/>
  <c r="Z5" i="7"/>
  <c r="H5" i="7"/>
  <c r="AK5" i="7" s="1"/>
  <c r="H4" i="7"/>
  <c r="AK4" i="7" s="1"/>
  <c r="G4" i="7"/>
  <c r="AG4" i="7" s="1"/>
  <c r="F4" i="7"/>
  <c r="AB4" i="7" s="1"/>
  <c r="CE46" i="5"/>
  <c r="CD46" i="5"/>
  <c r="CC46" i="5"/>
  <c r="BZ46" i="5"/>
  <c r="BY46" i="5"/>
  <c r="BX46" i="5"/>
  <c r="BU46" i="5"/>
  <c r="BT46" i="5"/>
  <c r="BS46" i="5"/>
  <c r="BP46" i="5"/>
  <c r="BO46" i="5"/>
  <c r="BN46" i="5"/>
  <c r="BK46" i="5"/>
  <c r="BJ46" i="5"/>
  <c r="BI46" i="5"/>
  <c r="BF46" i="5"/>
  <c r="BE46" i="5"/>
  <c r="BD46" i="5"/>
  <c r="BA46" i="5"/>
  <c r="AZ46" i="5"/>
  <c r="AY46" i="5"/>
  <c r="AB46" i="5"/>
  <c r="AA46" i="5"/>
  <c r="Z46" i="5"/>
  <c r="T46" i="5"/>
  <c r="K46" i="5"/>
  <c r="AV46" i="5" s="1"/>
  <c r="I46" i="5"/>
  <c r="AQ46" i="5" s="1"/>
  <c r="H46" i="5"/>
  <c r="AL46" i="5" s="1"/>
  <c r="G46" i="5"/>
  <c r="AG46" i="5" s="1"/>
  <c r="AG45" i="5"/>
  <c r="AF45" i="5"/>
  <c r="AE45" i="5"/>
  <c r="AB45" i="5"/>
  <c r="AA45" i="5"/>
  <c r="Z45" i="5"/>
  <c r="AG44" i="5"/>
  <c r="AF44" i="5"/>
  <c r="AE44" i="5"/>
  <c r="AB44" i="5"/>
  <c r="AA44" i="5"/>
  <c r="Z44" i="5"/>
  <c r="H44" i="5"/>
  <c r="AJ44" i="5" s="1"/>
  <c r="AG43" i="5"/>
  <c r="AF43" i="5"/>
  <c r="AE43" i="5"/>
  <c r="AB43" i="5"/>
  <c r="AA43" i="5"/>
  <c r="Z43" i="5"/>
  <c r="Y43" i="5"/>
  <c r="Y42" i="5"/>
  <c r="F41" i="5"/>
  <c r="AB41" i="5" s="1"/>
  <c r="AB40" i="5"/>
  <c r="AA40" i="5"/>
  <c r="Z40" i="5"/>
  <c r="AB39" i="5"/>
  <c r="AA39" i="5"/>
  <c r="Z39" i="5"/>
  <c r="S38" i="5"/>
  <c r="CC38" i="5" s="1"/>
  <c r="R38" i="5"/>
  <c r="BX38" i="5" s="1"/>
  <c r="Q38" i="5"/>
  <c r="P38" i="5"/>
  <c r="BN38" i="5" s="1"/>
  <c r="N38" i="5"/>
  <c r="BI38" i="5" s="1"/>
  <c r="M38" i="5"/>
  <c r="BD38" i="5" s="1"/>
  <c r="L38" i="5"/>
  <c r="AY38" i="5" s="1"/>
  <c r="K38" i="5"/>
  <c r="AT38" i="5" s="1"/>
  <c r="I38" i="5"/>
  <c r="H38" i="5"/>
  <c r="AJ38" i="5" s="1"/>
  <c r="G38" i="5"/>
  <c r="AG38" i="5" s="1"/>
  <c r="F38" i="5"/>
  <c r="AB38" i="5" s="1"/>
  <c r="Y36" i="5"/>
  <c r="G36" i="5"/>
  <c r="AG36" i="5" s="1"/>
  <c r="F36" i="5"/>
  <c r="G35" i="5"/>
  <c r="F35" i="5"/>
  <c r="AB35" i="5" s="1"/>
  <c r="AG34" i="5"/>
  <c r="AF34" i="5"/>
  <c r="AE34" i="5"/>
  <c r="AB34" i="5"/>
  <c r="AA34" i="5"/>
  <c r="Z34" i="5"/>
  <c r="Y34" i="5"/>
  <c r="Y33" i="5"/>
  <c r="G33" i="5"/>
  <c r="AE33" i="5" s="1"/>
  <c r="F33" i="5"/>
  <c r="AB33" i="5" s="1"/>
  <c r="CE29" i="5"/>
  <c r="CD29" i="5"/>
  <c r="CC29" i="5"/>
  <c r="BZ29" i="5"/>
  <c r="BY29" i="5"/>
  <c r="BX29" i="5"/>
  <c r="BU29" i="5"/>
  <c r="BT29" i="5"/>
  <c r="BS29" i="5"/>
  <c r="BP29" i="5"/>
  <c r="BO29" i="5"/>
  <c r="BN29" i="5"/>
  <c r="BK29" i="5"/>
  <c r="BJ29" i="5"/>
  <c r="BI29" i="5"/>
  <c r="BF29" i="5"/>
  <c r="BE29" i="5"/>
  <c r="BD29" i="5"/>
  <c r="BA29" i="5"/>
  <c r="AZ29" i="5"/>
  <c r="AY29" i="5"/>
  <c r="AV29" i="5"/>
  <c r="AU29" i="5"/>
  <c r="AT29" i="5"/>
  <c r="AQ29" i="5"/>
  <c r="AP29" i="5"/>
  <c r="AO29" i="5"/>
  <c r="AL29" i="5"/>
  <c r="AK29" i="5"/>
  <c r="AJ29" i="5"/>
  <c r="AG29" i="5"/>
  <c r="AF29" i="5"/>
  <c r="AE29" i="5"/>
  <c r="AB29" i="5"/>
  <c r="AA29" i="5"/>
  <c r="Z29" i="5"/>
  <c r="W28" i="5"/>
  <c r="V28" i="5"/>
  <c r="U28" i="5"/>
  <c r="S28" i="5"/>
  <c r="R28" i="5"/>
  <c r="Q28" i="5"/>
  <c r="P28" i="5"/>
  <c r="W27" i="5"/>
  <c r="V27" i="5"/>
  <c r="U27" i="5"/>
  <c r="S27" i="5"/>
  <c r="R27" i="5"/>
  <c r="Q27" i="5"/>
  <c r="P27" i="5"/>
  <c r="W26" i="5"/>
  <c r="V26" i="5"/>
  <c r="U26" i="5"/>
  <c r="S26" i="5"/>
  <c r="R26" i="5"/>
  <c r="Q26" i="5"/>
  <c r="P26" i="5"/>
  <c r="N26" i="5"/>
  <c r="M26" i="5"/>
  <c r="L26" i="5"/>
  <c r="K26" i="5"/>
  <c r="W25" i="5"/>
  <c r="V25" i="5"/>
  <c r="U25" i="5"/>
  <c r="S25" i="5"/>
  <c r="R25" i="5"/>
  <c r="Q25" i="5"/>
  <c r="P25" i="5"/>
  <c r="N25" i="5"/>
  <c r="M25" i="5"/>
  <c r="L25" i="5"/>
  <c r="K25" i="5"/>
  <c r="W24" i="5"/>
  <c r="V24" i="5"/>
  <c r="U24" i="5"/>
  <c r="S24" i="5"/>
  <c r="R24" i="5"/>
  <c r="Q24" i="5"/>
  <c r="P24" i="5"/>
  <c r="N24" i="5"/>
  <c r="M24" i="5"/>
  <c r="L24" i="5"/>
  <c r="K24" i="5"/>
  <c r="AL23" i="5"/>
  <c r="AL26" i="5" s="1"/>
  <c r="AK23" i="5"/>
  <c r="AK26" i="5" s="1"/>
  <c r="AJ23" i="5"/>
  <c r="W23" i="5"/>
  <c r="V23" i="5"/>
  <c r="U23" i="5"/>
  <c r="S23" i="5"/>
  <c r="R23" i="5"/>
  <c r="Q23" i="5"/>
  <c r="P23" i="5"/>
  <c r="N23" i="5"/>
  <c r="M23" i="5"/>
  <c r="L23" i="5"/>
  <c r="K23" i="5"/>
  <c r="W22" i="5"/>
  <c r="V22" i="5"/>
  <c r="U22" i="5"/>
  <c r="S22" i="5"/>
  <c r="R22" i="5"/>
  <c r="Q22" i="5"/>
  <c r="P22" i="5"/>
  <c r="N22" i="5"/>
  <c r="M22" i="5"/>
  <c r="L22" i="5"/>
  <c r="K22" i="5"/>
  <c r="I22" i="5"/>
  <c r="H22" i="5"/>
  <c r="AL22" i="5" s="1"/>
  <c r="AL25" i="5" s="1"/>
  <c r="AL28" i="5" s="1"/>
  <c r="W21" i="5"/>
  <c r="V21" i="5"/>
  <c r="U21" i="5"/>
  <c r="S21" i="5"/>
  <c r="R21" i="5"/>
  <c r="Q21" i="5"/>
  <c r="P21" i="5"/>
  <c r="N21" i="5"/>
  <c r="M21" i="5"/>
  <c r="L21" i="5"/>
  <c r="K21" i="5"/>
  <c r="I21" i="5"/>
  <c r="H21" i="5"/>
  <c r="AG15" i="5"/>
  <c r="AF15" i="5"/>
  <c r="AE15" i="5"/>
  <c r="AB15" i="5"/>
  <c r="AA15" i="5"/>
  <c r="Z15" i="5"/>
  <c r="S15" i="5"/>
  <c r="CE15" i="5" s="1"/>
  <c r="R15" i="5"/>
  <c r="BX15" i="5" s="1"/>
  <c r="Q15" i="5"/>
  <c r="BU15" i="5" s="1"/>
  <c r="P15" i="5"/>
  <c r="N15" i="5"/>
  <c r="M15" i="5"/>
  <c r="BD15" i="5" s="1"/>
  <c r="L15" i="5"/>
  <c r="BA15" i="5" s="1"/>
  <c r="K15" i="5"/>
  <c r="I15" i="5"/>
  <c r="AQ15" i="5" s="1"/>
  <c r="H15" i="5"/>
  <c r="F14" i="5"/>
  <c r="AG13" i="5"/>
  <c r="AF13" i="5"/>
  <c r="AE13" i="5"/>
  <c r="AB13" i="5"/>
  <c r="AA13" i="5"/>
  <c r="Z13" i="5"/>
  <c r="W13" i="5"/>
  <c r="V13" i="5"/>
  <c r="U13" i="5"/>
  <c r="S13" i="5"/>
  <c r="R13" i="5"/>
  <c r="BZ13" i="5" s="1"/>
  <c r="Q13" i="5"/>
  <c r="BS13" i="5" s="1"/>
  <c r="P13" i="5"/>
  <c r="N13" i="5"/>
  <c r="BI13" i="5" s="1"/>
  <c r="M13" i="5"/>
  <c r="BF13" i="5" s="1"/>
  <c r="L13" i="5"/>
  <c r="K13" i="5"/>
  <c r="I13" i="5"/>
  <c r="H13" i="5"/>
  <c r="AG12" i="5"/>
  <c r="AF12" i="5"/>
  <c r="AE12" i="5"/>
  <c r="AB12" i="5"/>
  <c r="AA12" i="5"/>
  <c r="Z12" i="5"/>
  <c r="W12" i="5"/>
  <c r="V12" i="5"/>
  <c r="U12" i="5"/>
  <c r="S12" i="5"/>
  <c r="CE12" i="5" s="1"/>
  <c r="R12" i="5"/>
  <c r="BZ12" i="5" s="1"/>
  <c r="Q12" i="5"/>
  <c r="BU12" i="5" s="1"/>
  <c r="P12" i="5"/>
  <c r="N12" i="5"/>
  <c r="BK12" i="5" s="1"/>
  <c r="M12" i="5"/>
  <c r="L12" i="5"/>
  <c r="K12" i="5"/>
  <c r="I12" i="5"/>
  <c r="AQ12" i="5" s="1"/>
  <c r="H12" i="5"/>
  <c r="AG11" i="5"/>
  <c r="AF11" i="5"/>
  <c r="AE11" i="5"/>
  <c r="AB11" i="5"/>
  <c r="AA11" i="5"/>
  <c r="Z11" i="5"/>
  <c r="W11" i="5"/>
  <c r="V11" i="5"/>
  <c r="U11" i="5"/>
  <c r="S11" i="5"/>
  <c r="CE11" i="5" s="1"/>
  <c r="R11" i="5"/>
  <c r="BZ11" i="5" s="1"/>
  <c r="Q11" i="5"/>
  <c r="BU11" i="5" s="1"/>
  <c r="P11" i="5"/>
  <c r="N11" i="5"/>
  <c r="BI11" i="5" s="1"/>
  <c r="M11" i="5"/>
  <c r="L11" i="5"/>
  <c r="AY11" i="5" s="1"/>
  <c r="K11" i="5"/>
  <c r="I11" i="5"/>
  <c r="AP11" i="5" s="1"/>
  <c r="H11" i="5"/>
  <c r="J11" i="5" s="1"/>
  <c r="AG10" i="5"/>
  <c r="AF10" i="5"/>
  <c r="AE10" i="5"/>
  <c r="AB10" i="5"/>
  <c r="AA10" i="5"/>
  <c r="Z10" i="5"/>
  <c r="W10" i="5"/>
  <c r="V10" i="5"/>
  <c r="U10" i="5"/>
  <c r="S10" i="5"/>
  <c r="CC10" i="5" s="1"/>
  <c r="R10" i="5"/>
  <c r="BZ10" i="5" s="1"/>
  <c r="Q10" i="5"/>
  <c r="BU10" i="5" s="1"/>
  <c r="P10" i="5"/>
  <c r="N10" i="5"/>
  <c r="BK10" i="5" s="1"/>
  <c r="M10" i="5"/>
  <c r="BD10" i="5" s="1"/>
  <c r="L10" i="5"/>
  <c r="AY10" i="5" s="1"/>
  <c r="K10" i="5"/>
  <c r="I10" i="5"/>
  <c r="AQ10" i="5" s="1"/>
  <c r="H10" i="5"/>
  <c r="AG9" i="5"/>
  <c r="AF9" i="5"/>
  <c r="AE9" i="5"/>
  <c r="AB9" i="5"/>
  <c r="AA9" i="5"/>
  <c r="Z9" i="5"/>
  <c r="W9" i="5"/>
  <c r="V9" i="5"/>
  <c r="U9" i="5"/>
  <c r="S9" i="5"/>
  <c r="CE9" i="5" s="1"/>
  <c r="R9" i="5"/>
  <c r="BZ9" i="5" s="1"/>
  <c r="Q9" i="5"/>
  <c r="BT9" i="5" s="1"/>
  <c r="P9" i="5"/>
  <c r="N9" i="5"/>
  <c r="BK9" i="5" s="1"/>
  <c r="M9" i="5"/>
  <c r="BD9" i="5" s="1"/>
  <c r="L9" i="5"/>
  <c r="AZ9" i="5" s="1"/>
  <c r="K9" i="5"/>
  <c r="I9" i="5"/>
  <c r="AO9" i="5" s="1"/>
  <c r="H9" i="5"/>
  <c r="Y8" i="5"/>
  <c r="AQ7" i="5"/>
  <c r="AP7" i="5"/>
  <c r="AO7" i="5"/>
  <c r="AL7" i="5"/>
  <c r="AK7" i="5"/>
  <c r="AJ7" i="5"/>
  <c r="AG7" i="5"/>
  <c r="AF7" i="5"/>
  <c r="AE7" i="5"/>
  <c r="AB7" i="5"/>
  <c r="AA7" i="5"/>
  <c r="Z7" i="5"/>
  <c r="J7" i="5"/>
  <c r="AG6" i="5"/>
  <c r="AF6" i="5"/>
  <c r="AE6" i="5"/>
  <c r="AB6" i="5"/>
  <c r="AA6" i="5"/>
  <c r="Z6" i="5"/>
  <c r="AG5" i="5"/>
  <c r="AF5" i="5"/>
  <c r="AE5" i="5"/>
  <c r="AB5" i="5"/>
  <c r="AA5" i="5"/>
  <c r="Z5" i="5"/>
  <c r="H5" i="5"/>
  <c r="AL5" i="5" s="1"/>
  <c r="Z4" i="5"/>
  <c r="G4" i="5"/>
  <c r="AE4" i="5" s="1"/>
  <c r="F4" i="5"/>
  <c r="AB4" i="5" s="1"/>
  <c r="K46" i="1"/>
  <c r="I46" i="1"/>
  <c r="H46" i="1"/>
  <c r="G46" i="1"/>
  <c r="W23" i="1"/>
  <c r="V23" i="1"/>
  <c r="U23" i="1"/>
  <c r="S23" i="1"/>
  <c r="R23" i="1"/>
  <c r="Q23" i="1"/>
  <c r="P23" i="1"/>
  <c r="N23" i="1"/>
  <c r="M23" i="1"/>
  <c r="L23" i="1"/>
  <c r="K23" i="1"/>
  <c r="W28" i="1"/>
  <c r="V28" i="1"/>
  <c r="U28" i="1"/>
  <c r="S28" i="1"/>
  <c r="R28" i="1"/>
  <c r="Q28" i="1"/>
  <c r="P28" i="1"/>
  <c r="AH43" i="7" l="1"/>
  <c r="BL46" i="7"/>
  <c r="AC40" i="7"/>
  <c r="AC43" i="5"/>
  <c r="AH9" i="7"/>
  <c r="AC10" i="7"/>
  <c r="BQ46" i="7"/>
  <c r="AC39" i="5"/>
  <c r="AC40" i="5"/>
  <c r="AW29" i="5"/>
  <c r="AC7" i="5"/>
  <c r="AR7" i="5"/>
  <c r="BL29" i="5"/>
  <c r="AQ9" i="8"/>
  <c r="AC13" i="8"/>
  <c r="BB46" i="8"/>
  <c r="AQ11" i="8"/>
  <c r="BU9" i="8"/>
  <c r="AC29" i="8"/>
  <c r="BQ29" i="8"/>
  <c r="AC5" i="8"/>
  <c r="AH7" i="8"/>
  <c r="AR29" i="8"/>
  <c r="CF29" i="8"/>
  <c r="AT10" i="8"/>
  <c r="AC11" i="8"/>
  <c r="AW29" i="8"/>
  <c r="BL29" i="8"/>
  <c r="AA33" i="5"/>
  <c r="AH45" i="5"/>
  <c r="AH29" i="5"/>
  <c r="BV29" i="5"/>
  <c r="AP38" i="7"/>
  <c r="BB46" i="7"/>
  <c r="AL44" i="7"/>
  <c r="AC15" i="7"/>
  <c r="BV46" i="7"/>
  <c r="AM38" i="11"/>
  <c r="CF38" i="11"/>
  <c r="CA38" i="11"/>
  <c r="BQ12" i="11"/>
  <c r="T29" i="11"/>
  <c r="AH46" i="11"/>
  <c r="AR38" i="11"/>
  <c r="BL15" i="11"/>
  <c r="AM10" i="11"/>
  <c r="AW12" i="11"/>
  <c r="O29" i="11"/>
  <c r="AH38" i="11"/>
  <c r="AC41" i="11"/>
  <c r="CF13" i="11"/>
  <c r="AC36" i="11"/>
  <c r="BL38" i="11"/>
  <c r="CA9" i="11"/>
  <c r="AW9" i="11"/>
  <c r="BL12" i="11"/>
  <c r="AM44" i="11"/>
  <c r="AH4" i="11"/>
  <c r="BL9" i="11"/>
  <c r="CA13" i="11"/>
  <c r="Z4" i="7"/>
  <c r="AC29" i="7"/>
  <c r="BQ29" i="7"/>
  <c r="BY38" i="7"/>
  <c r="AE46" i="7"/>
  <c r="AA4" i="7"/>
  <c r="AH34" i="7"/>
  <c r="AC43" i="7"/>
  <c r="AH6" i="7"/>
  <c r="F8" i="7"/>
  <c r="AB8" i="7" s="1"/>
  <c r="CA46" i="7"/>
  <c r="AM29" i="7"/>
  <c r="CA29" i="7"/>
  <c r="BG46" i="7"/>
  <c r="AH11" i="7"/>
  <c r="BD38" i="7"/>
  <c r="AH45" i="7"/>
  <c r="AC46" i="7"/>
  <c r="AH11" i="5"/>
  <c r="CA29" i="5"/>
  <c r="AC29" i="5"/>
  <c r="BB29" i="5"/>
  <c r="Z33" i="5"/>
  <c r="AR29" i="5"/>
  <c r="AC45" i="5"/>
  <c r="CF46" i="5"/>
  <c r="AH5" i="5"/>
  <c r="AM7" i="5"/>
  <c r="AH9" i="5"/>
  <c r="AC13" i="5"/>
  <c r="CF29" i="5"/>
  <c r="BG46" i="5"/>
  <c r="AC44" i="5"/>
  <c r="AC15" i="5"/>
  <c r="AH15" i="5"/>
  <c r="CA46" i="5"/>
  <c r="AC7" i="8"/>
  <c r="BA9" i="8"/>
  <c r="AC10" i="8"/>
  <c r="BF10" i="8"/>
  <c r="AM29" i="8"/>
  <c r="CA29" i="8"/>
  <c r="BV34" i="8"/>
  <c r="Z35" i="8"/>
  <c r="AH43" i="8"/>
  <c r="AH45" i="8"/>
  <c r="AC46" i="8"/>
  <c r="AR7" i="8"/>
  <c r="BS10" i="8"/>
  <c r="CC15" i="8"/>
  <c r="BB29" i="8"/>
  <c r="BU35" i="8"/>
  <c r="AC40" i="8"/>
  <c r="BX10" i="8"/>
  <c r="CA46" i="8"/>
  <c r="AH6" i="8"/>
  <c r="BG29" i="8"/>
  <c r="BQ46" i="8"/>
  <c r="AH5" i="8"/>
  <c r="AH29" i="8"/>
  <c r="BV29" i="8"/>
  <c r="AC39" i="8"/>
  <c r="CF46" i="8"/>
  <c r="BD10" i="8"/>
  <c r="BG10" i="8" s="1"/>
  <c r="BF11" i="8"/>
  <c r="BG46" i="8"/>
  <c r="BB5" i="13"/>
  <c r="AK9" i="8"/>
  <c r="J9" i="8"/>
  <c r="BF9" i="8"/>
  <c r="AO9" i="8"/>
  <c r="AR9" i="8" s="1"/>
  <c r="AQ10" i="8"/>
  <c r="BK10" i="8"/>
  <c r="AU11" i="8"/>
  <c r="O11" i="8"/>
  <c r="AU12" i="8"/>
  <c r="O12" i="8"/>
  <c r="BO13" i="8"/>
  <c r="T13" i="8"/>
  <c r="AV15" i="8"/>
  <c r="O15" i="8"/>
  <c r="AC15" i="8"/>
  <c r="AT15" i="8"/>
  <c r="CA34" i="8"/>
  <c r="BS35" i="8"/>
  <c r="BV35" i="8" s="1"/>
  <c r="AP38" i="8"/>
  <c r="BS12" i="8"/>
  <c r="AC9" i="8"/>
  <c r="BS9" i="8"/>
  <c r="BO10" i="8"/>
  <c r="T10" i="8"/>
  <c r="BU10" i="8"/>
  <c r="BV10" i="8" s="1"/>
  <c r="AY11" i="8"/>
  <c r="AK13" i="8"/>
  <c r="J13" i="8"/>
  <c r="BI15" i="8"/>
  <c r="BK38" i="8"/>
  <c r="BO9" i="8"/>
  <c r="T9" i="8"/>
  <c r="AT9" i="8"/>
  <c r="BV9" i="8"/>
  <c r="AC12" i="8"/>
  <c r="AH15" i="8"/>
  <c r="BY33" i="8"/>
  <c r="CD38" i="8"/>
  <c r="BV46" i="8"/>
  <c r="AK10" i="8"/>
  <c r="J10" i="8"/>
  <c r="AH10" i="8"/>
  <c r="AY10" i="8"/>
  <c r="BZ10" i="8"/>
  <c r="BO11" i="8"/>
  <c r="T11" i="8"/>
  <c r="BS11" i="8"/>
  <c r="BO12" i="8"/>
  <c r="T12" i="8"/>
  <c r="AU13" i="8"/>
  <c r="O13" i="8"/>
  <c r="AH13" i="8"/>
  <c r="T15" i="8"/>
  <c r="BX15" i="8"/>
  <c r="AH34" i="8"/>
  <c r="CE38" i="8"/>
  <c r="AM43" i="8"/>
  <c r="BL46" i="8"/>
  <c r="CE10" i="8"/>
  <c r="AB14" i="8"/>
  <c r="BU11" i="8"/>
  <c r="AM7" i="8"/>
  <c r="BD9" i="8"/>
  <c r="AU10" i="8"/>
  <c r="AW10" i="8" s="1"/>
  <c r="O10" i="8"/>
  <c r="AK11" i="8"/>
  <c r="J11" i="8"/>
  <c r="AH11" i="8"/>
  <c r="AK12" i="8"/>
  <c r="J12" i="8"/>
  <c r="AH12" i="8"/>
  <c r="J15" i="8"/>
  <c r="AJ15" i="8"/>
  <c r="CD15" i="8"/>
  <c r="CF15" i="8" s="1"/>
  <c r="AE35" i="8"/>
  <c r="U38" i="8"/>
  <c r="AC43" i="8"/>
  <c r="AC45" i="8"/>
  <c r="AC6" i="8"/>
  <c r="AU9" i="8"/>
  <c r="O9" i="8"/>
  <c r="AH9" i="8"/>
  <c r="AO10" i="8"/>
  <c r="BI10" i="8"/>
  <c r="AM23" i="8"/>
  <c r="AG35" i="8"/>
  <c r="AH6" i="5"/>
  <c r="AC9" i="5"/>
  <c r="BN11" i="5"/>
  <c r="T11" i="5"/>
  <c r="AL13" i="5"/>
  <c r="J13" i="5"/>
  <c r="AV38" i="5"/>
  <c r="F8" i="5"/>
  <c r="Z8" i="5" s="1"/>
  <c r="BN9" i="5"/>
  <c r="T9" i="5"/>
  <c r="AV10" i="5"/>
  <c r="O10" i="5"/>
  <c r="AH13" i="5"/>
  <c r="Z35" i="5"/>
  <c r="U38" i="5"/>
  <c r="BJ38" i="5"/>
  <c r="AC12" i="5"/>
  <c r="AT13" i="5"/>
  <c r="O13" i="5"/>
  <c r="AM29" i="5"/>
  <c r="Z38" i="5"/>
  <c r="BK38" i="5"/>
  <c r="AC46" i="5"/>
  <c r="AA4" i="5"/>
  <c r="AJ9" i="5"/>
  <c r="J9" i="5"/>
  <c r="BP12" i="5"/>
  <c r="T12" i="5"/>
  <c r="BN15" i="5"/>
  <c r="T15" i="5"/>
  <c r="AA38" i="5"/>
  <c r="BY38" i="5"/>
  <c r="AH43" i="5"/>
  <c r="AH44" i="5"/>
  <c r="AC10" i="5"/>
  <c r="AV11" i="5"/>
  <c r="O11" i="5"/>
  <c r="Y47" i="5"/>
  <c r="Y49" i="5" s="1"/>
  <c r="AE38" i="5"/>
  <c r="BZ38" i="5"/>
  <c r="AC5" i="5"/>
  <c r="AV9" i="5"/>
  <c r="O9" i="5"/>
  <c r="BN10" i="5"/>
  <c r="T10" i="5"/>
  <c r="AJ12" i="5"/>
  <c r="J12" i="5"/>
  <c r="AH12" i="5"/>
  <c r="AJ15" i="5"/>
  <c r="J15" i="5"/>
  <c r="BQ29" i="5"/>
  <c r="AF38" i="5"/>
  <c r="BP13" i="5"/>
  <c r="T13" i="5"/>
  <c r="BG29" i="5"/>
  <c r="AK38" i="5"/>
  <c r="AH7" i="5"/>
  <c r="AJ10" i="5"/>
  <c r="J10" i="5"/>
  <c r="AH10" i="5"/>
  <c r="AC11" i="5"/>
  <c r="AV12" i="5"/>
  <c r="O12" i="5"/>
  <c r="AT15" i="5"/>
  <c r="O15" i="5"/>
  <c r="AU38" i="5"/>
  <c r="AW38" i="5" s="1"/>
  <c r="AC5" i="7"/>
  <c r="AH7" i="7"/>
  <c r="AC9" i="7"/>
  <c r="AH10" i="7"/>
  <c r="AC13" i="7"/>
  <c r="AR29" i="7"/>
  <c r="CF29" i="7"/>
  <c r="BE38" i="7"/>
  <c r="BG38" i="7" s="1"/>
  <c r="AJ46" i="7"/>
  <c r="BG29" i="7"/>
  <c r="BI38" i="7"/>
  <c r="AT46" i="7"/>
  <c r="AC11" i="7"/>
  <c r="AH29" i="7"/>
  <c r="BV29" i="7"/>
  <c r="BJ38" i="7"/>
  <c r="AC45" i="7"/>
  <c r="AE4" i="7"/>
  <c r="AH5" i="7"/>
  <c r="AM7" i="7"/>
  <c r="AC12" i="7"/>
  <c r="AH13" i="7"/>
  <c r="AH15" i="7"/>
  <c r="AW29" i="7"/>
  <c r="BT38" i="7"/>
  <c r="AC44" i="7"/>
  <c r="AF4" i="7"/>
  <c r="BL29" i="7"/>
  <c r="AA38" i="7"/>
  <c r="BX38" i="7"/>
  <c r="CA38" i="7" s="1"/>
  <c r="AC7" i="7"/>
  <c r="O11" i="7"/>
  <c r="AL4" i="7"/>
  <c r="AC6" i="7"/>
  <c r="AR7" i="7"/>
  <c r="AH12" i="7"/>
  <c r="BB29" i="7"/>
  <c r="AC34" i="7"/>
  <c r="AH44" i="7"/>
  <c r="AR46" i="11"/>
  <c r="AH35" i="11"/>
  <c r="AM15" i="11"/>
  <c r="AR10" i="11"/>
  <c r="CF12" i="11"/>
  <c r="BQ38" i="11"/>
  <c r="BB12" i="11"/>
  <c r="J29" i="11"/>
  <c r="BB38" i="11"/>
  <c r="BV10" i="11"/>
  <c r="BG12" i="11"/>
  <c r="CA15" i="11"/>
  <c r="AM12" i="11"/>
  <c r="AR9" i="11"/>
  <c r="CA12" i="11"/>
  <c r="AC14" i="11"/>
  <c r="AR15" i="11"/>
  <c r="BG15" i="11"/>
  <c r="AW15" i="11"/>
  <c r="BE44" i="13"/>
  <c r="BF44" i="13"/>
  <c r="BD44" i="13"/>
  <c r="N44" i="13"/>
  <c r="Z30" i="13"/>
  <c r="AA18" i="13"/>
  <c r="BF5" i="13"/>
  <c r="BE5" i="13"/>
  <c r="N5" i="13"/>
  <c r="BD5" i="13"/>
  <c r="BB44" i="13"/>
  <c r="J15" i="7"/>
  <c r="AV15" i="7"/>
  <c r="O15" i="7"/>
  <c r="BP15" i="7"/>
  <c r="T15" i="7"/>
  <c r="O10" i="7"/>
  <c r="BO11" i="7"/>
  <c r="T11" i="7"/>
  <c r="AK11" i="7"/>
  <c r="J11" i="7"/>
  <c r="BP10" i="7"/>
  <c r="T10" i="7"/>
  <c r="AJ10" i="7"/>
  <c r="J10" i="7"/>
  <c r="BP12" i="7"/>
  <c r="T12" i="7"/>
  <c r="AJ12" i="7"/>
  <c r="J12" i="7"/>
  <c r="AV12" i="7"/>
  <c r="O12" i="7"/>
  <c r="BD12" i="7"/>
  <c r="BZ12" i="7"/>
  <c r="AU13" i="7"/>
  <c r="O13" i="7"/>
  <c r="AK13" i="7"/>
  <c r="J13" i="7"/>
  <c r="BO13" i="7"/>
  <c r="T13" i="7"/>
  <c r="AJ9" i="7"/>
  <c r="J9" i="7"/>
  <c r="AV9" i="7"/>
  <c r="O9" i="7"/>
  <c r="BP9" i="7"/>
  <c r="T9" i="7"/>
  <c r="AW44" i="12"/>
  <c r="BA5" i="12"/>
  <c r="AY5" i="12"/>
  <c r="AZ5" i="12"/>
  <c r="Z26" i="12"/>
  <c r="Z23" i="12"/>
  <c r="Z28" i="12"/>
  <c r="Z24" i="12"/>
  <c r="Z27" i="12"/>
  <c r="Z25" i="12"/>
  <c r="Z22" i="12"/>
  <c r="Z21" i="12"/>
  <c r="Z16" i="12"/>
  <c r="AA17" i="12"/>
  <c r="AY44" i="12"/>
  <c r="BA44" i="12"/>
  <c r="AZ44" i="12"/>
  <c r="AW5" i="12"/>
  <c r="BV15" i="11"/>
  <c r="BQ15" i="11"/>
  <c r="CF15" i="11"/>
  <c r="AP44" i="11"/>
  <c r="AL4" i="11"/>
  <c r="AK4" i="11"/>
  <c r="AJ4" i="11"/>
  <c r="AO44" i="11"/>
  <c r="AQ44" i="11"/>
  <c r="K44" i="11"/>
  <c r="BV13" i="11"/>
  <c r="BB13" i="11"/>
  <c r="BL13" i="11"/>
  <c r="AR11" i="11"/>
  <c r="BQ11" i="11"/>
  <c r="AM11" i="11"/>
  <c r="CF11" i="11"/>
  <c r="CA11" i="11"/>
  <c r="BB11" i="11"/>
  <c r="BL11" i="11"/>
  <c r="CA10" i="11"/>
  <c r="BL10" i="11"/>
  <c r="BB10" i="11"/>
  <c r="BG10" i="11"/>
  <c r="BB9" i="11"/>
  <c r="BG9" i="11"/>
  <c r="BV9" i="11"/>
  <c r="AW38" i="11"/>
  <c r="AJ25" i="11"/>
  <c r="AM22" i="11"/>
  <c r="BQ13" i="11"/>
  <c r="BV11" i="11"/>
  <c r="AR12" i="11"/>
  <c r="BV12" i="11"/>
  <c r="AM5" i="11"/>
  <c r="AH36" i="11"/>
  <c r="AR13" i="11"/>
  <c r="Z17" i="11"/>
  <c r="AC8" i="11"/>
  <c r="AC33" i="11"/>
  <c r="BQ10" i="11"/>
  <c r="AQ5" i="11"/>
  <c r="AO5" i="11"/>
  <c r="AP5" i="11"/>
  <c r="K5" i="11"/>
  <c r="AC4" i="11"/>
  <c r="AM13" i="11"/>
  <c r="Z36" i="7"/>
  <c r="AB36" i="7"/>
  <c r="Z33" i="7"/>
  <c r="AB33" i="7"/>
  <c r="AC33" i="7" s="1"/>
  <c r="AY11" i="7"/>
  <c r="BD11" i="7"/>
  <c r="BF11" i="7"/>
  <c r="BS11" i="7"/>
  <c r="AQ11" i="7"/>
  <c r="BI12" i="7"/>
  <c r="BK12" i="7"/>
  <c r="BS12" i="7"/>
  <c r="AO12" i="7"/>
  <c r="BU12" i="7"/>
  <c r="AQ12" i="7"/>
  <c r="BX12" i="7"/>
  <c r="BF12" i="7"/>
  <c r="CC12" i="7"/>
  <c r="AT13" i="7"/>
  <c r="BP13" i="7"/>
  <c r="AV13" i="7"/>
  <c r="BS13" i="7"/>
  <c r="AY13" i="7"/>
  <c r="BU13" i="7"/>
  <c r="BA13" i="7"/>
  <c r="AL13" i="7"/>
  <c r="BD13" i="7"/>
  <c r="AO13" i="7"/>
  <c r="BF13" i="7"/>
  <c r="AQ13" i="7"/>
  <c r="BN13" i="7"/>
  <c r="AP15" i="7"/>
  <c r="BD15" i="7"/>
  <c r="CC15" i="7"/>
  <c r="AZ15" i="7"/>
  <c r="BX15" i="7"/>
  <c r="AO15" i="7"/>
  <c r="CD15" i="7"/>
  <c r="AT15" i="7"/>
  <c r="AU15" i="7"/>
  <c r="AL11" i="7"/>
  <c r="AO11" i="7"/>
  <c r="BN11" i="7"/>
  <c r="BP11" i="7"/>
  <c r="BA11" i="7"/>
  <c r="BB11" i="7" s="1"/>
  <c r="BU11" i="7"/>
  <c r="BD10" i="7"/>
  <c r="BZ10" i="7"/>
  <c r="BU10" i="7"/>
  <c r="AQ10" i="7"/>
  <c r="BX10" i="7"/>
  <c r="BF10" i="7"/>
  <c r="CE10" i="7"/>
  <c r="BI10" i="7"/>
  <c r="BK10" i="7"/>
  <c r="BS10" i="7"/>
  <c r="AL5" i="7"/>
  <c r="BD9" i="7"/>
  <c r="BI9" i="7"/>
  <c r="BJ9" i="7"/>
  <c r="BX9" i="7"/>
  <c r="BY9" i="7"/>
  <c r="AO9" i="7"/>
  <c r="AY9" i="7"/>
  <c r="AU46" i="8"/>
  <c r="AV46" i="8"/>
  <c r="AO11" i="8"/>
  <c r="AR11" i="8" s="1"/>
  <c r="BP11" i="8"/>
  <c r="BA11" i="8"/>
  <c r="BB11" i="8" s="1"/>
  <c r="BD11" i="8"/>
  <c r="BG11" i="8" s="1"/>
  <c r="AL11" i="8"/>
  <c r="BN11" i="8"/>
  <c r="BF12" i="8"/>
  <c r="BK12" i="8"/>
  <c r="BU12" i="8"/>
  <c r="BX12" i="8"/>
  <c r="AO12" i="8"/>
  <c r="BZ12" i="8"/>
  <c r="AQ12" i="8"/>
  <c r="CE12" i="8"/>
  <c r="BD12" i="8"/>
  <c r="BG12" i="8" s="1"/>
  <c r="AO13" i="8"/>
  <c r="BF13" i="8"/>
  <c r="BS13" i="8"/>
  <c r="AT13" i="8"/>
  <c r="BU13" i="8"/>
  <c r="AV13" i="8"/>
  <c r="BA13" i="8"/>
  <c r="BD13" i="8"/>
  <c r="AQ13" i="8"/>
  <c r="BN13" i="8"/>
  <c r="BN35" i="8"/>
  <c r="Z4" i="8"/>
  <c r="AC44" i="8"/>
  <c r="AA4" i="8"/>
  <c r="AH44" i="8"/>
  <c r="AG4" i="5"/>
  <c r="AE36" i="8"/>
  <c r="BY36" i="8"/>
  <c r="AF36" i="8"/>
  <c r="BS36" i="8"/>
  <c r="BT36" i="8"/>
  <c r="CC36" i="8"/>
  <c r="CD36" i="8"/>
  <c r="H4" i="8"/>
  <c r="AL4" i="8" s="1"/>
  <c r="Z33" i="8"/>
  <c r="AA33" i="8"/>
  <c r="BN33" i="8"/>
  <c r="AJ33" i="8"/>
  <c r="BO33" i="8"/>
  <c r="BS33" i="8"/>
  <c r="CC33" i="8"/>
  <c r="CF33" i="8" s="1"/>
  <c r="AK36" i="8"/>
  <c r="AL9" i="8"/>
  <c r="AY9" i="8"/>
  <c r="BZ9" i="8"/>
  <c r="BP10" i="8"/>
  <c r="CC10" i="8"/>
  <c r="AV12" i="8"/>
  <c r="BI12" i="8"/>
  <c r="AL13" i="8"/>
  <c r="AY13" i="8"/>
  <c r="BZ13" i="8"/>
  <c r="BO15" i="8"/>
  <c r="BP15" i="8"/>
  <c r="AT11" i="8"/>
  <c r="AJ12" i="8"/>
  <c r="BU15" i="8"/>
  <c r="BT15" i="8"/>
  <c r="AJ5" i="8"/>
  <c r="BP9" i="8"/>
  <c r="CC9" i="8"/>
  <c r="AV11" i="8"/>
  <c r="BI11" i="8"/>
  <c r="AL12" i="8"/>
  <c r="AY12" i="8"/>
  <c r="BP13" i="8"/>
  <c r="CC13" i="8"/>
  <c r="Z14" i="8"/>
  <c r="Z17" i="8" s="1"/>
  <c r="AK15" i="8"/>
  <c r="AL15" i="8"/>
  <c r="CE9" i="8"/>
  <c r="AJ11" i="8"/>
  <c r="BK11" i="8"/>
  <c r="BX11" i="8"/>
  <c r="BA12" i="8"/>
  <c r="BN12" i="8"/>
  <c r="CE13" i="8"/>
  <c r="AA14" i="8"/>
  <c r="AQ15" i="8"/>
  <c r="AP15" i="8"/>
  <c r="AA8" i="8"/>
  <c r="AB8" i="8"/>
  <c r="BZ11" i="8"/>
  <c r="BP12" i="8"/>
  <c r="CC12" i="8"/>
  <c r="CF12" i="8" s="1"/>
  <c r="BS15" i="8"/>
  <c r="AE4" i="8"/>
  <c r="AJ10" i="8"/>
  <c r="BA15" i="8"/>
  <c r="AZ15" i="8"/>
  <c r="AF4" i="8"/>
  <c r="AL5" i="8"/>
  <c r="BI9" i="8"/>
  <c r="AL10" i="8"/>
  <c r="CC11" i="8"/>
  <c r="BI13" i="8"/>
  <c r="BE15" i="8"/>
  <c r="BF15" i="8"/>
  <c r="BD15" i="8"/>
  <c r="I5" i="8"/>
  <c r="J5" i="8" s="1"/>
  <c r="AJ9" i="8"/>
  <c r="BK9" i="8"/>
  <c r="BX9" i="8"/>
  <c r="BA10" i="8"/>
  <c r="BN10" i="8"/>
  <c r="CE11" i="8"/>
  <c r="AT12" i="8"/>
  <c r="AJ13" i="8"/>
  <c r="BK13" i="8"/>
  <c r="BX13" i="8"/>
  <c r="CA13" i="8" s="1"/>
  <c r="AB4" i="8"/>
  <c r="BZ15" i="8"/>
  <c r="CA15" i="8" s="1"/>
  <c r="BT33" i="8"/>
  <c r="BY35" i="8"/>
  <c r="BX35" i="8"/>
  <c r="AK38" i="8"/>
  <c r="AL38" i="8"/>
  <c r="AJ38" i="8"/>
  <c r="AF33" i="8"/>
  <c r="AM34" i="8"/>
  <c r="CD35" i="8"/>
  <c r="CC35" i="8"/>
  <c r="CE35" i="8"/>
  <c r="AJ22" i="8"/>
  <c r="AL26" i="8"/>
  <c r="AM26" i="8" s="1"/>
  <c r="AG33" i="8"/>
  <c r="AK35" i="8"/>
  <c r="AJ35" i="8"/>
  <c r="BJ15" i="8"/>
  <c r="AK22" i="8"/>
  <c r="AK25" i="8" s="1"/>
  <c r="AK28" i="8" s="1"/>
  <c r="BP36" i="8"/>
  <c r="BO36" i="8"/>
  <c r="AB36" i="8"/>
  <c r="AA36" i="8"/>
  <c r="BN36" i="8"/>
  <c r="AC33" i="8"/>
  <c r="AL35" i="8"/>
  <c r="AE38" i="8"/>
  <c r="AG38" i="8"/>
  <c r="AF38" i="8"/>
  <c r="AJ36" i="8"/>
  <c r="BX36" i="8"/>
  <c r="AB41" i="8"/>
  <c r="AA41" i="8"/>
  <c r="Z41" i="8"/>
  <c r="BO38" i="8"/>
  <c r="BP38" i="8"/>
  <c r="BT38" i="8"/>
  <c r="BU38" i="8"/>
  <c r="AM33" i="8"/>
  <c r="BX33" i="8"/>
  <c r="AC34" i="8"/>
  <c r="BQ34" i="8"/>
  <c r="CF34" i="8"/>
  <c r="AU38" i="8"/>
  <c r="AV38" i="8"/>
  <c r="CC38" i="8"/>
  <c r="V38" i="8"/>
  <c r="AY38" i="8"/>
  <c r="BA38" i="8"/>
  <c r="BE38" i="8"/>
  <c r="BF38" i="8"/>
  <c r="AB35" i="8"/>
  <c r="AC35" i="8" s="1"/>
  <c r="BP35" i="8"/>
  <c r="AQ38" i="8"/>
  <c r="AA38" i="8"/>
  <c r="AB38" i="8"/>
  <c r="Y47" i="8"/>
  <c r="Y49" i="8" s="1"/>
  <c r="BY38" i="8"/>
  <c r="BZ38" i="8"/>
  <c r="BJ38" i="8"/>
  <c r="BL38" i="8" s="1"/>
  <c r="BX38" i="8"/>
  <c r="O46" i="8"/>
  <c r="AG46" i="8"/>
  <c r="AQ46" i="8"/>
  <c r="AJ46" i="8"/>
  <c r="AJ44" i="8"/>
  <c r="AK46" i="8"/>
  <c r="I44" i="8"/>
  <c r="AK44" i="8"/>
  <c r="J46" i="8"/>
  <c r="AE46" i="8"/>
  <c r="AH46" i="8" s="1"/>
  <c r="AO46" i="8"/>
  <c r="AR46" i="8" s="1"/>
  <c r="AF46" i="5"/>
  <c r="AP46" i="5"/>
  <c r="J46" i="5"/>
  <c r="H4" i="5"/>
  <c r="AL4" i="5" s="1"/>
  <c r="AF36" i="5"/>
  <c r="AF33" i="5"/>
  <c r="Z41" i="5"/>
  <c r="AA41" i="5"/>
  <c r="AE36" i="5"/>
  <c r="AH36" i="5" s="1"/>
  <c r="CC15" i="5"/>
  <c r="BF15" i="5"/>
  <c r="BO15" i="5"/>
  <c r="BP15" i="5"/>
  <c r="AK15" i="5"/>
  <c r="BY15" i="5"/>
  <c r="AL15" i="5"/>
  <c r="BZ15" i="5"/>
  <c r="AU15" i="5"/>
  <c r="AV15" i="5"/>
  <c r="CD15" i="5"/>
  <c r="BE15" i="5"/>
  <c r="BY13" i="5"/>
  <c r="BX13" i="5"/>
  <c r="AJ13" i="5"/>
  <c r="BN13" i="5"/>
  <c r="BO13" i="5"/>
  <c r="AO12" i="5"/>
  <c r="AU12" i="5"/>
  <c r="CD12" i="5"/>
  <c r="BO12" i="5"/>
  <c r="BX12" i="5"/>
  <c r="AP12" i="5"/>
  <c r="BY12" i="5"/>
  <c r="AT12" i="5"/>
  <c r="CC12" i="5"/>
  <c r="BN12" i="5"/>
  <c r="AO46" i="5"/>
  <c r="AT46" i="5"/>
  <c r="AE46" i="5"/>
  <c r="AU46" i="5"/>
  <c r="AJ46" i="5"/>
  <c r="O46" i="5"/>
  <c r="AK46" i="5"/>
  <c r="AQ11" i="5"/>
  <c r="BX11" i="5"/>
  <c r="BY11" i="5"/>
  <c r="AT11" i="5"/>
  <c r="CC11" i="5"/>
  <c r="AU11" i="5"/>
  <c r="CD11" i="5"/>
  <c r="BK11" i="5"/>
  <c r="BS11" i="5"/>
  <c r="AO11" i="5"/>
  <c r="BT11" i="5"/>
  <c r="BX10" i="5"/>
  <c r="AU10" i="5"/>
  <c r="CD10" i="5"/>
  <c r="CE10" i="5"/>
  <c r="BS10" i="5"/>
  <c r="BT10" i="5"/>
  <c r="AO10" i="5"/>
  <c r="AP10" i="5"/>
  <c r="BY10" i="5"/>
  <c r="AT10" i="5"/>
  <c r="AW10" i="5" s="1"/>
  <c r="AP9" i="5"/>
  <c r="AU9" i="5"/>
  <c r="BY9" i="5"/>
  <c r="AQ9" i="5"/>
  <c r="BU9" i="5"/>
  <c r="AT9" i="5"/>
  <c r="BX9" i="5"/>
  <c r="AY9" i="5"/>
  <c r="CC9" i="5"/>
  <c r="CD9" i="5"/>
  <c r="BS9" i="5"/>
  <c r="I5" i="5"/>
  <c r="AQ5" i="5" s="1"/>
  <c r="AU11" i="7"/>
  <c r="AV11" i="7"/>
  <c r="AL9" i="7"/>
  <c r="AK9" i="7"/>
  <c r="AZ10" i="7"/>
  <c r="BA10" i="7"/>
  <c r="BU15" i="7"/>
  <c r="BT15" i="7"/>
  <c r="BS15" i="7"/>
  <c r="AC4" i="7"/>
  <c r="AZ9" i="7"/>
  <c r="BN9" i="7"/>
  <c r="AV10" i="7"/>
  <c r="CC10" i="7"/>
  <c r="AU12" i="7"/>
  <c r="AT12" i="7"/>
  <c r="CE12" i="7"/>
  <c r="BJ13" i="7"/>
  <c r="BK13" i="7"/>
  <c r="AL15" i="7"/>
  <c r="AK15" i="7"/>
  <c r="AJ15" i="7"/>
  <c r="BO9" i="7"/>
  <c r="CC9" i="7"/>
  <c r="BJ11" i="7"/>
  <c r="BK11" i="7"/>
  <c r="BI11" i="7"/>
  <c r="AZ12" i="7"/>
  <c r="BA12" i="7"/>
  <c r="AY12" i="7"/>
  <c r="AP9" i="7"/>
  <c r="CD9" i="7"/>
  <c r="AY10" i="7"/>
  <c r="I5" i="7"/>
  <c r="J5" i="7" s="1"/>
  <c r="BE9" i="7"/>
  <c r="BS9" i="7"/>
  <c r="BO10" i="7"/>
  <c r="BN10" i="7"/>
  <c r="AJ4" i="7"/>
  <c r="AM4" i="7" s="1"/>
  <c r="AJ5" i="7"/>
  <c r="AT9" i="7"/>
  <c r="BT9" i="7"/>
  <c r="AK10" i="7"/>
  <c r="AL10" i="7"/>
  <c r="BY13" i="7"/>
  <c r="BX13" i="7"/>
  <c r="AU9" i="7"/>
  <c r="AO10" i="7"/>
  <c r="BY11" i="7"/>
  <c r="BX11" i="7"/>
  <c r="BO12" i="7"/>
  <c r="BN12" i="7"/>
  <c r="AU10" i="7"/>
  <c r="AT10" i="7"/>
  <c r="CD11" i="7"/>
  <c r="CE11" i="7"/>
  <c r="AT11" i="7"/>
  <c r="AK12" i="7"/>
  <c r="AL12" i="7"/>
  <c r="AA14" i="7"/>
  <c r="Z14" i="7"/>
  <c r="AB14" i="7"/>
  <c r="AJ13" i="7"/>
  <c r="BE15" i="7"/>
  <c r="AL22" i="7"/>
  <c r="AL25" i="7" s="1"/>
  <c r="AL28" i="7" s="1"/>
  <c r="AJ26" i="7"/>
  <c r="AM26" i="7" s="1"/>
  <c r="AM23" i="7"/>
  <c r="AF36" i="7"/>
  <c r="AG36" i="7"/>
  <c r="AV38" i="7"/>
  <c r="AU38" i="7"/>
  <c r="CE38" i="7"/>
  <c r="V38" i="7"/>
  <c r="CC38" i="7"/>
  <c r="U38" i="7"/>
  <c r="W38" i="7"/>
  <c r="BA38" i="7"/>
  <c r="AY38" i="7"/>
  <c r="AZ38" i="7"/>
  <c r="BI15" i="7"/>
  <c r="BN38" i="7"/>
  <c r="CC13" i="7"/>
  <c r="BJ15" i="7"/>
  <c r="BO38" i="7"/>
  <c r="Z41" i="7"/>
  <c r="AA41" i="7"/>
  <c r="AB41" i="7"/>
  <c r="AJ11" i="7"/>
  <c r="CE13" i="7"/>
  <c r="AY15" i="7"/>
  <c r="BY15" i="7"/>
  <c r="BN15" i="7"/>
  <c r="Z35" i="7"/>
  <c r="AA35" i="7"/>
  <c r="AB35" i="7"/>
  <c r="AG38" i="7"/>
  <c r="AE38" i="7"/>
  <c r="BO15" i="7"/>
  <c r="AG33" i="7"/>
  <c r="AF33" i="7"/>
  <c r="AL38" i="7"/>
  <c r="AJ38" i="7"/>
  <c r="AK38" i="7"/>
  <c r="AJ22" i="7"/>
  <c r="AG35" i="7"/>
  <c r="Z38" i="7"/>
  <c r="AC38" i="7" s="1"/>
  <c r="AF35" i="7"/>
  <c r="Y47" i="7"/>
  <c r="Y49" i="7" s="1"/>
  <c r="AO38" i="7"/>
  <c r="AR38" i="7" s="1"/>
  <c r="BS38" i="7"/>
  <c r="BV38" i="7" s="1"/>
  <c r="AC39" i="7"/>
  <c r="O46" i="7"/>
  <c r="AG46" i="7"/>
  <c r="AH46" i="7" s="1"/>
  <c r="AQ46" i="7"/>
  <c r="AJ44" i="7"/>
  <c r="AM44" i="7" s="1"/>
  <c r="AK46" i="7"/>
  <c r="AM46" i="7" s="1"/>
  <c r="AU46" i="7"/>
  <c r="I44" i="7"/>
  <c r="J46" i="7"/>
  <c r="AO46" i="7"/>
  <c r="AJ5" i="5"/>
  <c r="AM5" i="5" s="1"/>
  <c r="BE11" i="5"/>
  <c r="BD11" i="5"/>
  <c r="BF11" i="5"/>
  <c r="AK5" i="5"/>
  <c r="BA9" i="5"/>
  <c r="AZ10" i="5"/>
  <c r="AZ11" i="5"/>
  <c r="AC6" i="5"/>
  <c r="AL9" i="5"/>
  <c r="AK9" i="5"/>
  <c r="BP10" i="5"/>
  <c r="BO10" i="5"/>
  <c r="BA10" i="5"/>
  <c r="BA11" i="5"/>
  <c r="AC4" i="5"/>
  <c r="BO9" i="5"/>
  <c r="BP9" i="5"/>
  <c r="BF12" i="5"/>
  <c r="BE12" i="5"/>
  <c r="BD12" i="5"/>
  <c r="AL10" i="5"/>
  <c r="AK10" i="5"/>
  <c r="BJ11" i="5"/>
  <c r="BL11" i="5" s="1"/>
  <c r="AF4" i="5"/>
  <c r="BI9" i="5"/>
  <c r="AK11" i="5"/>
  <c r="AJ11" i="5"/>
  <c r="AL11" i="5"/>
  <c r="BJ9" i="5"/>
  <c r="BI10" i="5"/>
  <c r="BF9" i="5"/>
  <c r="BE9" i="5"/>
  <c r="BJ10" i="5"/>
  <c r="CA10" i="5"/>
  <c r="AA8" i="5"/>
  <c r="BF10" i="5"/>
  <c r="BE10" i="5"/>
  <c r="BK13" i="5"/>
  <c r="BJ13" i="5"/>
  <c r="BP11" i="5"/>
  <c r="AL12" i="5"/>
  <c r="BI12" i="5"/>
  <c r="BT12" i="5"/>
  <c r="AK13" i="5"/>
  <c r="BE13" i="5"/>
  <c r="BO11" i="5"/>
  <c r="AK12" i="5"/>
  <c r="BS12" i="5"/>
  <c r="AY12" i="5"/>
  <c r="BJ12" i="5"/>
  <c r="BU13" i="5"/>
  <c r="BT13" i="5"/>
  <c r="AZ12" i="5"/>
  <c r="AQ13" i="5"/>
  <c r="AP13" i="5"/>
  <c r="AO13" i="5"/>
  <c r="AB14" i="5"/>
  <c r="Z14" i="5"/>
  <c r="AA14" i="5"/>
  <c r="BA12" i="5"/>
  <c r="CE13" i="5"/>
  <c r="CD13" i="5"/>
  <c r="CC13" i="5"/>
  <c r="AV13" i="5"/>
  <c r="AU13" i="5"/>
  <c r="BK15" i="5"/>
  <c r="BJ15" i="5"/>
  <c r="BI15" i="5"/>
  <c r="BA13" i="5"/>
  <c r="AZ13" i="5"/>
  <c r="AY13" i="5"/>
  <c r="BD13" i="5"/>
  <c r="AC33" i="5"/>
  <c r="AO15" i="5"/>
  <c r="AY15" i="5"/>
  <c r="BS15" i="5"/>
  <c r="AM23" i="5"/>
  <c r="AJ26" i="5"/>
  <c r="AM26" i="5" s="1"/>
  <c r="AP15" i="5"/>
  <c r="AZ15" i="5"/>
  <c r="BT15" i="5"/>
  <c r="O29" i="5"/>
  <c r="AH34" i="5"/>
  <c r="AG35" i="5"/>
  <c r="AF35" i="5"/>
  <c r="AJ22" i="5"/>
  <c r="AB36" i="5"/>
  <c r="AA36" i="5"/>
  <c r="BS38" i="5"/>
  <c r="BU38" i="5"/>
  <c r="BT38" i="5"/>
  <c r="AK22" i="5"/>
  <c r="AK25" i="5" s="1"/>
  <c r="AK28" i="5" s="1"/>
  <c r="AG33" i="5"/>
  <c r="Z36" i="5"/>
  <c r="AC34" i="5"/>
  <c r="AE35" i="5"/>
  <c r="AQ38" i="5"/>
  <c r="AP38" i="5"/>
  <c r="AO38" i="5"/>
  <c r="AA35" i="5"/>
  <c r="AL38" i="5"/>
  <c r="AM38" i="5" s="1"/>
  <c r="BO38" i="5"/>
  <c r="BQ38" i="5" s="1"/>
  <c r="CD38" i="5"/>
  <c r="CF38" i="5" s="1"/>
  <c r="BB46" i="5"/>
  <c r="AZ38" i="5"/>
  <c r="BP38" i="5"/>
  <c r="CE38" i="5"/>
  <c r="BQ46" i="5"/>
  <c r="BA38" i="5"/>
  <c r="BB38" i="5" s="1"/>
  <c r="BE38" i="5"/>
  <c r="BG38" i="5" s="1"/>
  <c r="V38" i="5"/>
  <c r="BF38" i="5"/>
  <c r="BV46" i="5"/>
  <c r="W38" i="5"/>
  <c r="AL44" i="5"/>
  <c r="AK44" i="5"/>
  <c r="I44" i="5"/>
  <c r="J44" i="5" s="1"/>
  <c r="BL46" i="5"/>
  <c r="W27" i="1"/>
  <c r="V27" i="1"/>
  <c r="U27" i="1"/>
  <c r="W26" i="1"/>
  <c r="U26" i="1"/>
  <c r="W25" i="1"/>
  <c r="U25" i="1"/>
  <c r="W24" i="1"/>
  <c r="U24" i="1"/>
  <c r="W22" i="1"/>
  <c r="U22" i="1"/>
  <c r="W21" i="1"/>
  <c r="U21" i="1"/>
  <c r="S27" i="1"/>
  <c r="R27" i="1"/>
  <c r="Q27" i="1"/>
  <c r="P27" i="1"/>
  <c r="V26" i="1"/>
  <c r="S26" i="1"/>
  <c r="R26" i="1"/>
  <c r="Q26" i="1"/>
  <c r="P26" i="1"/>
  <c r="N26" i="1"/>
  <c r="M26" i="1"/>
  <c r="L26" i="1"/>
  <c r="K26" i="1"/>
  <c r="V25" i="1"/>
  <c r="S25" i="1"/>
  <c r="R25" i="1"/>
  <c r="Q25" i="1"/>
  <c r="P25" i="1"/>
  <c r="N25" i="1"/>
  <c r="M25" i="1"/>
  <c r="L25" i="1"/>
  <c r="K25" i="1"/>
  <c r="V24" i="1"/>
  <c r="V22" i="1"/>
  <c r="V21" i="1"/>
  <c r="S24" i="1"/>
  <c r="R24" i="1"/>
  <c r="Q24" i="1"/>
  <c r="P24" i="1"/>
  <c r="N24" i="1"/>
  <c r="M24" i="1"/>
  <c r="L24" i="1"/>
  <c r="K24" i="1"/>
  <c r="H14" i="3"/>
  <c r="H15" i="3"/>
  <c r="H16" i="3"/>
  <c r="H17" i="3"/>
  <c r="H18" i="3"/>
  <c r="H13" i="3"/>
  <c r="L6" i="3"/>
  <c r="L7" i="3"/>
  <c r="L8" i="3"/>
  <c r="L9" i="3"/>
  <c r="L10" i="3"/>
  <c r="L11" i="3"/>
  <c r="L12" i="3"/>
  <c r="L13" i="3"/>
  <c r="L14" i="3"/>
  <c r="L15" i="3"/>
  <c r="L16" i="3"/>
  <c r="L5" i="3"/>
  <c r="N9" i="3"/>
  <c r="N10" i="3"/>
  <c r="N11" i="3"/>
  <c r="N12" i="3"/>
  <c r="N13" i="3"/>
  <c r="N14" i="3"/>
  <c r="N15" i="3"/>
  <c r="N16" i="3"/>
  <c r="N17" i="3"/>
  <c r="N8" i="3"/>
  <c r="J13" i="3"/>
  <c r="J14" i="3"/>
  <c r="J15" i="3"/>
  <c r="J16" i="3"/>
  <c r="J17" i="3"/>
  <c r="J18" i="3"/>
  <c r="J12" i="3"/>
  <c r="F11" i="3"/>
  <c r="F12" i="3"/>
  <c r="F13" i="3"/>
  <c r="F14" i="3"/>
  <c r="F15" i="3"/>
  <c r="F16" i="3"/>
  <c r="F17" i="3"/>
  <c r="F18" i="3"/>
  <c r="F10" i="3"/>
  <c r="D7" i="3"/>
  <c r="D8" i="3"/>
  <c r="D9" i="3"/>
  <c r="D10" i="3"/>
  <c r="D11" i="3"/>
  <c r="D12" i="3"/>
  <c r="D13" i="3"/>
  <c r="D14" i="3"/>
  <c r="D15" i="3"/>
  <c r="D16" i="3"/>
  <c r="D17" i="3"/>
  <c r="D18" i="3"/>
  <c r="D6" i="3"/>
  <c r="F14" i="1"/>
  <c r="AW38" i="7" l="1"/>
  <c r="BG38" i="8"/>
  <c r="J29" i="8"/>
  <c r="AW46" i="7"/>
  <c r="BV11" i="8"/>
  <c r="J29" i="7"/>
  <c r="AH36" i="7"/>
  <c r="BQ33" i="8"/>
  <c r="AW13" i="7"/>
  <c r="BG44" i="13"/>
  <c r="J38" i="11"/>
  <c r="O29" i="8"/>
  <c r="BQ35" i="8"/>
  <c r="BV12" i="8"/>
  <c r="AH35" i="8"/>
  <c r="AR46" i="7"/>
  <c r="AR38" i="8"/>
  <c r="AM36" i="8"/>
  <c r="BB10" i="8"/>
  <c r="BV38" i="8"/>
  <c r="BG9" i="8"/>
  <c r="BQ9" i="8"/>
  <c r="BB9" i="8"/>
  <c r="T29" i="8"/>
  <c r="AW12" i="8"/>
  <c r="CA10" i="8"/>
  <c r="BG15" i="5"/>
  <c r="J29" i="5"/>
  <c r="CA38" i="5"/>
  <c r="T29" i="7"/>
  <c r="CF38" i="7"/>
  <c r="BL38" i="7"/>
  <c r="AA8" i="7"/>
  <c r="T38" i="11"/>
  <c r="Z8" i="7"/>
  <c r="Z17" i="7" s="1"/>
  <c r="AH35" i="7"/>
  <c r="O29" i="7"/>
  <c r="BL38" i="5"/>
  <c r="O38" i="5" s="1"/>
  <c r="BQ12" i="5"/>
  <c r="T29" i="5"/>
  <c r="AR10" i="5"/>
  <c r="BL13" i="5"/>
  <c r="AC35" i="5"/>
  <c r="AM38" i="8"/>
  <c r="CF11" i="8"/>
  <c r="AR10" i="8"/>
  <c r="AM15" i="8"/>
  <c r="AM13" i="8"/>
  <c r="AC14" i="8"/>
  <c r="CA35" i="8"/>
  <c r="BG15" i="8"/>
  <c r="AW9" i="8"/>
  <c r="BL12" i="8"/>
  <c r="AR15" i="8"/>
  <c r="AM11" i="8"/>
  <c r="BQ11" i="8"/>
  <c r="AW38" i="8"/>
  <c r="AR13" i="8"/>
  <c r="BQ38" i="8"/>
  <c r="AM12" i="8"/>
  <c r="AH33" i="8"/>
  <c r="T34" i="8"/>
  <c r="BV15" i="8"/>
  <c r="CF10" i="8"/>
  <c r="BQ12" i="8"/>
  <c r="AW15" i="8"/>
  <c r="BL15" i="8"/>
  <c r="AM5" i="8"/>
  <c r="AW13" i="8"/>
  <c r="BB38" i="8"/>
  <c r="BQ15" i="8"/>
  <c r="CF38" i="8"/>
  <c r="BV33" i="8"/>
  <c r="BQ10" i="8"/>
  <c r="BB15" i="8"/>
  <c r="BQ13" i="8"/>
  <c r="CA12" i="8"/>
  <c r="BL10" i="8"/>
  <c r="AB8" i="5"/>
  <c r="AC8" i="5" s="1"/>
  <c r="AC38" i="5"/>
  <c r="AW11" i="5"/>
  <c r="AR38" i="5"/>
  <c r="CA11" i="5"/>
  <c r="AM15" i="5"/>
  <c r="AM10" i="5"/>
  <c r="AK4" i="5"/>
  <c r="AJ4" i="5"/>
  <c r="AW15" i="5"/>
  <c r="AH38" i="5"/>
  <c r="BB10" i="5"/>
  <c r="BQ38" i="7"/>
  <c r="AC36" i="7"/>
  <c r="AM38" i="7"/>
  <c r="BB38" i="7"/>
  <c r="AH4" i="7"/>
  <c r="O38" i="11"/>
  <c r="AA25" i="13"/>
  <c r="AA28" i="13"/>
  <c r="AA26" i="13"/>
  <c r="AA24" i="13"/>
  <c r="AA16" i="13"/>
  <c r="AA22" i="13"/>
  <c r="AA21" i="13"/>
  <c r="AA27" i="13"/>
  <c r="AA23" i="13"/>
  <c r="AB17" i="13"/>
  <c r="AC17" i="13" s="1"/>
  <c r="F17" i="13" s="1"/>
  <c r="BJ44" i="13"/>
  <c r="P44" i="13"/>
  <c r="BK44" i="13"/>
  <c r="BI44" i="13"/>
  <c r="O44" i="13"/>
  <c r="BG5" i="13"/>
  <c r="BK5" i="13"/>
  <c r="BJ5" i="13"/>
  <c r="BI5" i="13"/>
  <c r="P5" i="13"/>
  <c r="O5" i="13"/>
  <c r="AM13" i="7"/>
  <c r="CA12" i="7"/>
  <c r="BG15" i="7"/>
  <c r="BG12" i="7"/>
  <c r="CF12" i="7"/>
  <c r="BV10" i="7"/>
  <c r="BB44" i="12"/>
  <c r="Z30" i="12"/>
  <c r="BF44" i="12"/>
  <c r="BE44" i="12"/>
  <c r="BD44" i="12"/>
  <c r="AA18" i="12"/>
  <c r="BF5" i="12"/>
  <c r="BD5" i="12"/>
  <c r="BE5" i="12"/>
  <c r="BB5" i="12"/>
  <c r="AR44" i="11"/>
  <c r="AM4" i="11"/>
  <c r="L44" i="11"/>
  <c r="AU44" i="11"/>
  <c r="AT44" i="11"/>
  <c r="AV44" i="11"/>
  <c r="AJ28" i="11"/>
  <c r="AM28" i="11" s="1"/>
  <c r="AM25" i="11"/>
  <c r="AV5" i="11"/>
  <c r="L5" i="11"/>
  <c r="AU5" i="11"/>
  <c r="AT5" i="11"/>
  <c r="AR5" i="11"/>
  <c r="Z18" i="11"/>
  <c r="AM11" i="7"/>
  <c r="AR11" i="7"/>
  <c r="AR9" i="7"/>
  <c r="CF11" i="7"/>
  <c r="CA11" i="7"/>
  <c r="BV11" i="7"/>
  <c r="BG11" i="7"/>
  <c r="AW11" i="7"/>
  <c r="BL11" i="7"/>
  <c r="CF15" i="7"/>
  <c r="CA13" i="7"/>
  <c r="AR13" i="7"/>
  <c r="BQ13" i="7"/>
  <c r="BV13" i="7"/>
  <c r="AR12" i="7"/>
  <c r="BV12" i="7"/>
  <c r="AM12" i="7"/>
  <c r="BL12" i="7"/>
  <c r="AM9" i="7"/>
  <c r="CF10" i="7"/>
  <c r="BG13" i="7"/>
  <c r="BB13" i="7"/>
  <c r="BL13" i="7"/>
  <c r="AR15" i="7"/>
  <c r="CA15" i="7"/>
  <c r="BL15" i="7"/>
  <c r="BV15" i="7"/>
  <c r="AW15" i="7"/>
  <c r="AM15" i="7"/>
  <c r="BB15" i="7"/>
  <c r="BQ11" i="7"/>
  <c r="BL10" i="7"/>
  <c r="BG10" i="7"/>
  <c r="CA10" i="7"/>
  <c r="AM10" i="7"/>
  <c r="AR10" i="7"/>
  <c r="BG9" i="7"/>
  <c r="AM5" i="7"/>
  <c r="BL9" i="7"/>
  <c r="BB9" i="7"/>
  <c r="CF9" i="7"/>
  <c r="CA9" i="7"/>
  <c r="AW46" i="8"/>
  <c r="AM46" i="8"/>
  <c r="BB12" i="8"/>
  <c r="AR12" i="8"/>
  <c r="BG13" i="8"/>
  <c r="BB13" i="8"/>
  <c r="BV13" i="8"/>
  <c r="CF36" i="8"/>
  <c r="BV36" i="8"/>
  <c r="AH4" i="8"/>
  <c r="AC4" i="8"/>
  <c r="AC8" i="8"/>
  <c r="AH4" i="5"/>
  <c r="AH36" i="8"/>
  <c r="CA36" i="8"/>
  <c r="AC36" i="8"/>
  <c r="AK4" i="8"/>
  <c r="AJ4" i="8"/>
  <c r="AM44" i="8"/>
  <c r="AM35" i="8"/>
  <c r="AW11" i="8"/>
  <c r="BQ36" i="8"/>
  <c r="AM22" i="8"/>
  <c r="AJ25" i="8"/>
  <c r="CA9" i="8"/>
  <c r="BL13" i="8"/>
  <c r="CF13" i="8"/>
  <c r="CA38" i="8"/>
  <c r="AM9" i="8"/>
  <c r="AO44" i="8"/>
  <c r="K44" i="8"/>
  <c r="J44" i="8"/>
  <c r="AQ44" i="8"/>
  <c r="AP44" i="8"/>
  <c r="CF35" i="8"/>
  <c r="T35" i="8" s="1"/>
  <c r="AQ5" i="8"/>
  <c r="AO5" i="8"/>
  <c r="K5" i="8"/>
  <c r="AP5" i="8"/>
  <c r="AM10" i="8"/>
  <c r="AC38" i="8"/>
  <c r="Z18" i="8"/>
  <c r="AA17" i="8" s="1"/>
  <c r="BL9" i="8"/>
  <c r="BL11" i="8"/>
  <c r="CA11" i="8"/>
  <c r="CA33" i="8"/>
  <c r="T33" i="8" s="1"/>
  <c r="AC41" i="8"/>
  <c r="AH38" i="8"/>
  <c r="CF9" i="8"/>
  <c r="AC14" i="5"/>
  <c r="BQ15" i="5"/>
  <c r="AM44" i="5"/>
  <c r="CF11" i="5"/>
  <c r="AR11" i="5"/>
  <c r="CA13" i="5"/>
  <c r="AW12" i="5"/>
  <c r="AR9" i="5"/>
  <c r="AM46" i="5"/>
  <c r="AH46" i="5"/>
  <c r="AW46" i="5"/>
  <c r="AR46" i="5"/>
  <c r="K5" i="5"/>
  <c r="AU5" i="5" s="1"/>
  <c r="AP5" i="5"/>
  <c r="AH33" i="5"/>
  <c r="AR12" i="5"/>
  <c r="CF12" i="5"/>
  <c r="AC41" i="5"/>
  <c r="CA15" i="5"/>
  <c r="CF15" i="5"/>
  <c r="BB15" i="5"/>
  <c r="BL15" i="5"/>
  <c r="BG13" i="5"/>
  <c r="AW13" i="5"/>
  <c r="AM13" i="5"/>
  <c r="BV13" i="5"/>
  <c r="CF13" i="5"/>
  <c r="AR13" i="5"/>
  <c r="BQ13" i="5"/>
  <c r="CA12" i="5"/>
  <c r="AM12" i="5"/>
  <c r="BG12" i="5"/>
  <c r="BQ11" i="5"/>
  <c r="BB11" i="5"/>
  <c r="BV11" i="5"/>
  <c r="AM11" i="5"/>
  <c r="BQ10" i="5"/>
  <c r="BV10" i="5"/>
  <c r="CF10" i="5"/>
  <c r="BG10" i="5"/>
  <c r="BL10" i="5"/>
  <c r="AM9" i="5"/>
  <c r="AW9" i="5"/>
  <c r="BQ9" i="5"/>
  <c r="BV9" i="5"/>
  <c r="BB9" i="5"/>
  <c r="BG9" i="5"/>
  <c r="CA9" i="5"/>
  <c r="CF9" i="5"/>
  <c r="AO5" i="5"/>
  <c r="J5" i="5"/>
  <c r="AO44" i="7"/>
  <c r="K44" i="7"/>
  <c r="AP44" i="7"/>
  <c r="AQ44" i="7"/>
  <c r="J44" i="7"/>
  <c r="AC41" i="7"/>
  <c r="BQ12" i="7"/>
  <c r="BB10" i="7"/>
  <c r="AJ25" i="7"/>
  <c r="AM22" i="7"/>
  <c r="AH38" i="7"/>
  <c r="BQ10" i="7"/>
  <c r="BQ9" i="7"/>
  <c r="AW9" i="7"/>
  <c r="BV9" i="7"/>
  <c r="BB12" i="7"/>
  <c r="AW12" i="7"/>
  <c r="AC35" i="7"/>
  <c r="CF13" i="7"/>
  <c r="AC14" i="7"/>
  <c r="AW10" i="7"/>
  <c r="AC8" i="7"/>
  <c r="AH33" i="7"/>
  <c r="K5" i="7"/>
  <c r="AQ5" i="7"/>
  <c r="AP5" i="7"/>
  <c r="AO5" i="7"/>
  <c r="BQ15" i="7"/>
  <c r="BL12" i="5"/>
  <c r="AC36" i="5"/>
  <c r="BB12" i="5"/>
  <c r="AR15" i="5"/>
  <c r="AJ25" i="5"/>
  <c r="AM22" i="5"/>
  <c r="BB13" i="5"/>
  <c r="BV12" i="5"/>
  <c r="AH35" i="5"/>
  <c r="AQ44" i="5"/>
  <c r="AP44" i="5"/>
  <c r="AO44" i="5"/>
  <c r="K44" i="5"/>
  <c r="BG11" i="5"/>
  <c r="Z17" i="5"/>
  <c r="BV38" i="5"/>
  <c r="BV15" i="5"/>
  <c r="BL9" i="5"/>
  <c r="J7" i="1"/>
  <c r="AJ7" i="1"/>
  <c r="AK7" i="1"/>
  <c r="AL7" i="1"/>
  <c r="AE10" i="1"/>
  <c r="AE11" i="1"/>
  <c r="AE12" i="1"/>
  <c r="AE13" i="1"/>
  <c r="AF10" i="1"/>
  <c r="AH10" i="1" s="1"/>
  <c r="AF11" i="1"/>
  <c r="AF12" i="1"/>
  <c r="AF13" i="1"/>
  <c r="AG10" i="1"/>
  <c r="AG11" i="1"/>
  <c r="AG12" i="1"/>
  <c r="AG13" i="1"/>
  <c r="AG5" i="1"/>
  <c r="AG6" i="1"/>
  <c r="AG7" i="1"/>
  <c r="AF5" i="1"/>
  <c r="AF6" i="1"/>
  <c r="AF7" i="1"/>
  <c r="AE5" i="1"/>
  <c r="AE6" i="1"/>
  <c r="AE7" i="1"/>
  <c r="Z5" i="1"/>
  <c r="Z6" i="1"/>
  <c r="Z7" i="1"/>
  <c r="AA5" i="1"/>
  <c r="AA6" i="1"/>
  <c r="AA7" i="1"/>
  <c r="AB5" i="1"/>
  <c r="AB6" i="1"/>
  <c r="AB7" i="1"/>
  <c r="AB10" i="1"/>
  <c r="AB11" i="1"/>
  <c r="AB12" i="1"/>
  <c r="AB13" i="1"/>
  <c r="AA10" i="1"/>
  <c r="AA11" i="1"/>
  <c r="AC11" i="1" s="1"/>
  <c r="AA12" i="1"/>
  <c r="AA13" i="1"/>
  <c r="Z10" i="1"/>
  <c r="Z11" i="1"/>
  <c r="Z12" i="1"/>
  <c r="Z13" i="1"/>
  <c r="Z9" i="1"/>
  <c r="AA9" i="1"/>
  <c r="AB9" i="1"/>
  <c r="AE9" i="1"/>
  <c r="AF9" i="1"/>
  <c r="AG9" i="1"/>
  <c r="AQ7" i="1"/>
  <c r="AP7" i="1"/>
  <c r="AO7" i="1"/>
  <c r="Z15" i="1"/>
  <c r="AA15" i="1"/>
  <c r="AB15" i="1"/>
  <c r="Z14" i="1"/>
  <c r="T38" i="7" l="1"/>
  <c r="T38" i="8"/>
  <c r="J38" i="5"/>
  <c r="T38" i="5"/>
  <c r="O38" i="7"/>
  <c r="L5" i="5"/>
  <c r="AY5" i="5" s="1"/>
  <c r="AM4" i="5"/>
  <c r="AT5" i="5"/>
  <c r="AV5" i="5"/>
  <c r="O38" i="8"/>
  <c r="J38" i="8"/>
  <c r="AR5" i="5"/>
  <c r="J38" i="7"/>
  <c r="AB18" i="13"/>
  <c r="BO5" i="13"/>
  <c r="BP5" i="13"/>
  <c r="Q5" i="13"/>
  <c r="BN5" i="13"/>
  <c r="BO44" i="13"/>
  <c r="Q44" i="13"/>
  <c r="BP44" i="13"/>
  <c r="BN44" i="13"/>
  <c r="BL5" i="13"/>
  <c r="AA30" i="13"/>
  <c r="BL44" i="13"/>
  <c r="BG44" i="12"/>
  <c r="BK5" i="12"/>
  <c r="BI5" i="12"/>
  <c r="BJ5" i="12"/>
  <c r="AA28" i="12"/>
  <c r="AA25" i="12"/>
  <c r="AA22" i="12"/>
  <c r="AA21" i="12"/>
  <c r="AA24" i="12"/>
  <c r="AA16" i="12"/>
  <c r="AA26" i="12"/>
  <c r="AA23" i="12"/>
  <c r="AA27" i="12"/>
  <c r="AB17" i="12"/>
  <c r="AC17" i="12" s="1"/>
  <c r="F17" i="12" s="1"/>
  <c r="BI44" i="12"/>
  <c r="BK44" i="12"/>
  <c r="BJ44" i="12"/>
  <c r="BG5" i="12"/>
  <c r="AW44" i="11"/>
  <c r="AZ44" i="11"/>
  <c r="BA44" i="11"/>
  <c r="M44" i="11"/>
  <c r="AY44" i="11"/>
  <c r="AW5" i="11"/>
  <c r="BA5" i="11"/>
  <c r="AZ5" i="11"/>
  <c r="AY5" i="11"/>
  <c r="M5" i="11"/>
  <c r="Z26" i="11"/>
  <c r="Z25" i="11"/>
  <c r="Z27" i="11"/>
  <c r="Z24" i="11"/>
  <c r="Z23" i="11"/>
  <c r="Z16" i="11"/>
  <c r="Z22" i="11"/>
  <c r="Z28" i="11"/>
  <c r="Z21" i="11"/>
  <c r="AA17" i="11"/>
  <c r="AA18" i="11" s="1"/>
  <c r="T36" i="8"/>
  <c r="AR44" i="8"/>
  <c r="AM4" i="8"/>
  <c r="AM25" i="8"/>
  <c r="AJ28" i="8"/>
  <c r="AM28" i="8" s="1"/>
  <c r="AV5" i="8"/>
  <c r="AU5" i="8"/>
  <c r="L5" i="8"/>
  <c r="AT5" i="8"/>
  <c r="L44" i="8"/>
  <c r="AV44" i="8"/>
  <c r="AU44" i="8"/>
  <c r="AT44" i="8"/>
  <c r="AR5" i="8"/>
  <c r="Z27" i="8"/>
  <c r="Z28" i="8"/>
  <c r="Z16" i="8"/>
  <c r="Z23" i="8"/>
  <c r="AA18" i="8"/>
  <c r="Z26" i="8"/>
  <c r="Z22" i="8"/>
  <c r="Z21" i="8"/>
  <c r="Z25" i="8"/>
  <c r="Z24" i="8"/>
  <c r="L5" i="7"/>
  <c r="AV5" i="7"/>
  <c r="AU5" i="7"/>
  <c r="AT5" i="7"/>
  <c r="Z18" i="7"/>
  <c r="AR5" i="7"/>
  <c r="AM25" i="7"/>
  <c r="AJ28" i="7"/>
  <c r="AM28" i="7" s="1"/>
  <c r="L44" i="7"/>
  <c r="AU44" i="7"/>
  <c r="AT44" i="7"/>
  <c r="AV44" i="7"/>
  <c r="AR44" i="7"/>
  <c r="Z18" i="5"/>
  <c r="AV44" i="5"/>
  <c r="AU44" i="5"/>
  <c r="AT44" i="5"/>
  <c r="L44" i="5"/>
  <c r="M5" i="5"/>
  <c r="AR44" i="5"/>
  <c r="AM25" i="5"/>
  <c r="AJ28" i="5"/>
  <c r="AM28" i="5" s="1"/>
  <c r="AC13" i="1"/>
  <c r="AH11" i="1"/>
  <c r="AC12" i="1"/>
  <c r="AC15" i="1"/>
  <c r="AH13" i="1"/>
  <c r="AC9" i="1"/>
  <c r="AC10" i="1"/>
  <c r="AH12" i="1"/>
  <c r="AH9" i="1"/>
  <c r="AB14" i="1"/>
  <c r="AA14" i="1"/>
  <c r="AC5" i="1"/>
  <c r="T46" i="1"/>
  <c r="J46" i="1"/>
  <c r="BD46" i="1"/>
  <c r="G4" i="1"/>
  <c r="F4" i="1"/>
  <c r="Z46" i="1"/>
  <c r="AA46" i="1"/>
  <c r="AB46" i="1"/>
  <c r="AF46" i="1"/>
  <c r="AE46" i="1"/>
  <c r="AG46" i="1"/>
  <c r="BN46" i="1"/>
  <c r="BO46" i="1"/>
  <c r="BP46" i="1"/>
  <c r="BS46" i="1"/>
  <c r="BT46" i="1"/>
  <c r="BU46" i="1"/>
  <c r="CE46" i="1"/>
  <c r="CD46" i="1"/>
  <c r="CC46" i="1"/>
  <c r="BZ46" i="1"/>
  <c r="BX46" i="1"/>
  <c r="BY46" i="1"/>
  <c r="L10" i="1"/>
  <c r="AW5" i="5" l="1"/>
  <c r="AZ5" i="5"/>
  <c r="BA5" i="5"/>
  <c r="BB5" i="5" s="1"/>
  <c r="BQ44" i="13"/>
  <c r="BB44" i="11"/>
  <c r="BT44" i="13"/>
  <c r="BS44" i="13"/>
  <c r="BU44" i="13"/>
  <c r="R44" i="13"/>
  <c r="BQ5" i="13"/>
  <c r="BU5" i="13"/>
  <c r="BT5" i="13"/>
  <c r="R5" i="13"/>
  <c r="BS5" i="13"/>
  <c r="AB27" i="13"/>
  <c r="AC27" i="13" s="1"/>
  <c r="AB28" i="13"/>
  <c r="AC28" i="13" s="1"/>
  <c r="AB23" i="13"/>
  <c r="AC23" i="13" s="1"/>
  <c r="AB24" i="13"/>
  <c r="AC24" i="13" s="1"/>
  <c r="AB22" i="13"/>
  <c r="AC22" i="13" s="1"/>
  <c r="AB21" i="13"/>
  <c r="AB26" i="13"/>
  <c r="AC26" i="13" s="1"/>
  <c r="AB16" i="13"/>
  <c r="AC16" i="13" s="1"/>
  <c r="AB25" i="13"/>
  <c r="AC25" i="13" s="1"/>
  <c r="AC18" i="13"/>
  <c r="F18" i="13" s="1"/>
  <c r="AB18" i="12"/>
  <c r="AB28" i="12" s="1"/>
  <c r="AC28" i="12" s="1"/>
  <c r="BP5" i="12"/>
  <c r="BO5" i="12"/>
  <c r="BN5" i="12"/>
  <c r="BL5" i="12"/>
  <c r="BL44" i="12"/>
  <c r="AA30" i="12"/>
  <c r="BP44" i="12"/>
  <c r="BO44" i="12"/>
  <c r="BN44" i="12"/>
  <c r="BE44" i="11"/>
  <c r="BD44" i="11"/>
  <c r="N44" i="11"/>
  <c r="O44" i="11" s="1"/>
  <c r="BF44" i="11"/>
  <c r="AA27" i="11"/>
  <c r="AA28" i="11"/>
  <c r="AA25" i="11"/>
  <c r="AA26" i="11"/>
  <c r="AA23" i="11"/>
  <c r="AA24" i="11"/>
  <c r="AA16" i="11"/>
  <c r="AA22" i="11"/>
  <c r="AA21" i="11"/>
  <c r="AB17" i="11"/>
  <c r="AB18" i="11" s="1"/>
  <c r="BF5" i="11"/>
  <c r="N5" i="11"/>
  <c r="O5" i="11" s="1"/>
  <c r="BD5" i="11"/>
  <c r="BE5" i="11"/>
  <c r="BB5" i="11"/>
  <c r="Z30" i="11"/>
  <c r="AW5" i="7"/>
  <c r="AY44" i="8"/>
  <c r="BA44" i="8"/>
  <c r="AZ44" i="8"/>
  <c r="M44" i="8"/>
  <c r="AW5" i="8"/>
  <c r="AA27" i="8"/>
  <c r="AA23" i="8"/>
  <c r="AA25" i="8"/>
  <c r="AA28" i="8"/>
  <c r="AA26" i="8"/>
  <c r="AA22" i="8"/>
  <c r="AA21" i="8"/>
  <c r="AA24" i="8"/>
  <c r="AA16" i="8"/>
  <c r="AB17" i="8"/>
  <c r="AC17" i="8" s="1"/>
  <c r="F17" i="8" s="1"/>
  <c r="BA5" i="8"/>
  <c r="AZ5" i="8"/>
  <c r="AY5" i="8"/>
  <c r="M5" i="8"/>
  <c r="Z30" i="8"/>
  <c r="AW44" i="8"/>
  <c r="AW44" i="5"/>
  <c r="Z26" i="7"/>
  <c r="Z28" i="7"/>
  <c r="Z27" i="7"/>
  <c r="Z16" i="7"/>
  <c r="Z21" i="7"/>
  <c r="Z24" i="7"/>
  <c r="Z23" i="7"/>
  <c r="Z25" i="7"/>
  <c r="Z22" i="7"/>
  <c r="AA17" i="7"/>
  <c r="AW44" i="7"/>
  <c r="AY44" i="7"/>
  <c r="BA44" i="7"/>
  <c r="AZ44" i="7"/>
  <c r="M44" i="7"/>
  <c r="AZ5" i="7"/>
  <c r="M5" i="7"/>
  <c r="AY5" i="7"/>
  <c r="BA5" i="7"/>
  <c r="Z27" i="5"/>
  <c r="Z25" i="5"/>
  <c r="Z26" i="5"/>
  <c r="Z22" i="5"/>
  <c r="Z21" i="5"/>
  <c r="Z28" i="5"/>
  <c r="Z24" i="5"/>
  <c r="Z16" i="5"/>
  <c r="Z23" i="5"/>
  <c r="AA17" i="5"/>
  <c r="AA18" i="5" s="1"/>
  <c r="BA44" i="5"/>
  <c r="M44" i="5"/>
  <c r="AZ44" i="5"/>
  <c r="AY44" i="5"/>
  <c r="BF5" i="5"/>
  <c r="BE5" i="5"/>
  <c r="BD5" i="5"/>
  <c r="N5" i="5"/>
  <c r="O5" i="5" s="1"/>
  <c r="AG4" i="1"/>
  <c r="AF4" i="1"/>
  <c r="AE4" i="1"/>
  <c r="F8" i="1"/>
  <c r="AB4" i="1"/>
  <c r="AA4" i="1"/>
  <c r="Z4" i="1"/>
  <c r="AC14" i="1"/>
  <c r="O46" i="1"/>
  <c r="CF46" i="1"/>
  <c r="CA46" i="1"/>
  <c r="BV46" i="1"/>
  <c r="BQ46" i="1"/>
  <c r="BF46" i="1"/>
  <c r="AO46" i="1"/>
  <c r="AL46" i="1"/>
  <c r="BE46" i="1"/>
  <c r="AQ46" i="1"/>
  <c r="AP46" i="1"/>
  <c r="AJ46" i="1"/>
  <c r="AK46" i="1"/>
  <c r="AH46" i="1"/>
  <c r="AC46" i="1"/>
  <c r="AB39" i="1"/>
  <c r="AB40" i="1"/>
  <c r="AA40" i="1"/>
  <c r="AA39" i="1"/>
  <c r="Z40" i="1"/>
  <c r="Z39" i="1"/>
  <c r="AC17" i="11" l="1"/>
  <c r="F17" i="11" s="1"/>
  <c r="BB44" i="7"/>
  <c r="BB5" i="8"/>
  <c r="BV5" i="13"/>
  <c r="F42" i="13"/>
  <c r="G14" i="13"/>
  <c r="F16" i="13"/>
  <c r="G8" i="13"/>
  <c r="S44" i="13"/>
  <c r="BY44" i="13"/>
  <c r="BZ44" i="13"/>
  <c r="BX44" i="13"/>
  <c r="AB30" i="13"/>
  <c r="AC21" i="13"/>
  <c r="BZ5" i="13"/>
  <c r="BY5" i="13"/>
  <c r="S5" i="13"/>
  <c r="T5" i="13" s="1"/>
  <c r="BX5" i="13"/>
  <c r="BV44" i="13"/>
  <c r="AB23" i="12"/>
  <c r="AC23" i="12" s="1"/>
  <c r="AB26" i="12"/>
  <c r="AC26" i="12" s="1"/>
  <c r="AC18" i="12"/>
  <c r="F18" i="12" s="1"/>
  <c r="AB22" i="12"/>
  <c r="AC22" i="12" s="1"/>
  <c r="AB25" i="12"/>
  <c r="AC25" i="12" s="1"/>
  <c r="AB16" i="12"/>
  <c r="AC16" i="12" s="1"/>
  <c r="AB24" i="12"/>
  <c r="AC24" i="12" s="1"/>
  <c r="AB21" i="12"/>
  <c r="AC21" i="12" s="1"/>
  <c r="AB27" i="12"/>
  <c r="AC27" i="12" s="1"/>
  <c r="BQ44" i="12"/>
  <c r="BS44" i="12"/>
  <c r="BU44" i="12"/>
  <c r="BT44" i="12"/>
  <c r="BQ5" i="12"/>
  <c r="BU5" i="12"/>
  <c r="BS5" i="12"/>
  <c r="BT5" i="12"/>
  <c r="BI44" i="11"/>
  <c r="P44" i="11"/>
  <c r="BJ44" i="11"/>
  <c r="BK44" i="11"/>
  <c r="BG44" i="11"/>
  <c r="BG5" i="11"/>
  <c r="P5" i="11"/>
  <c r="BK5" i="11"/>
  <c r="BJ5" i="11"/>
  <c r="BI5" i="11"/>
  <c r="AB24" i="11"/>
  <c r="AC24" i="11" s="1"/>
  <c r="AB26" i="11"/>
  <c r="AC26" i="11" s="1"/>
  <c r="AB27" i="11"/>
  <c r="AC27" i="11" s="1"/>
  <c r="AB22" i="11"/>
  <c r="AC22" i="11" s="1"/>
  <c r="AB21" i="11"/>
  <c r="AB28" i="11"/>
  <c r="AC28" i="11" s="1"/>
  <c r="AB16" i="11"/>
  <c r="AC16" i="11" s="1"/>
  <c r="AB23" i="11"/>
  <c r="AC23" i="11" s="1"/>
  <c r="AB25" i="11"/>
  <c r="AC25" i="11" s="1"/>
  <c r="AC18" i="11"/>
  <c r="F18" i="11" s="1"/>
  <c r="AA30" i="11"/>
  <c r="AA30" i="8"/>
  <c r="AB18" i="8"/>
  <c r="BF44" i="8"/>
  <c r="BE44" i="8"/>
  <c r="BD44" i="8"/>
  <c r="N44" i="8"/>
  <c r="BB44" i="8"/>
  <c r="N5" i="8"/>
  <c r="BF5" i="8"/>
  <c r="BE5" i="8"/>
  <c r="BD5" i="8"/>
  <c r="BF44" i="7"/>
  <c r="BE44" i="7"/>
  <c r="BD44" i="7"/>
  <c r="N44" i="7"/>
  <c r="O44" i="7" s="1"/>
  <c r="Z30" i="7"/>
  <c r="BB5" i="7"/>
  <c r="AA18" i="7"/>
  <c r="BE5" i="7"/>
  <c r="BF5" i="7"/>
  <c r="BD5" i="7"/>
  <c r="N5" i="7"/>
  <c r="BB44" i="5"/>
  <c r="Z30" i="5"/>
  <c r="BF44" i="5"/>
  <c r="BE44" i="5"/>
  <c r="N44" i="5"/>
  <c r="O44" i="5" s="1"/>
  <c r="BD44" i="5"/>
  <c r="AA26" i="5"/>
  <c r="AA22" i="5"/>
  <c r="AA23" i="5"/>
  <c r="AA28" i="5"/>
  <c r="AA24" i="5"/>
  <c r="AA21" i="5"/>
  <c r="AA16" i="5"/>
  <c r="AA25" i="5"/>
  <c r="AA27" i="5"/>
  <c r="AB17" i="5"/>
  <c r="AC17" i="5" s="1"/>
  <c r="F17" i="5" s="1"/>
  <c r="BI5" i="5"/>
  <c r="BJ5" i="5"/>
  <c r="P5" i="5"/>
  <c r="BK5" i="5"/>
  <c r="BG5" i="5"/>
  <c r="AC4" i="1"/>
  <c r="Z8" i="1"/>
  <c r="AA8" i="1"/>
  <c r="AB8" i="1"/>
  <c r="BG46" i="1"/>
  <c r="AM46" i="1"/>
  <c r="AT46" i="1"/>
  <c r="AU46" i="1"/>
  <c r="AV46" i="1"/>
  <c r="AR46" i="1"/>
  <c r="BJ46" i="1"/>
  <c r="BI46" i="1"/>
  <c r="BK46" i="1"/>
  <c r="Y36" i="1"/>
  <c r="Y42" i="1"/>
  <c r="Y43" i="1"/>
  <c r="Y33" i="1"/>
  <c r="Y34" i="1"/>
  <c r="CA5" i="13" l="1"/>
  <c r="BG44" i="7"/>
  <c r="BG5" i="8"/>
  <c r="F37" i="13"/>
  <c r="AC30" i="13"/>
  <c r="AF8" i="13"/>
  <c r="AG8" i="13"/>
  <c r="AE8" i="13"/>
  <c r="CA44" i="13"/>
  <c r="AG14" i="13"/>
  <c r="AF14" i="13"/>
  <c r="AE14" i="13"/>
  <c r="CE5" i="13"/>
  <c r="U5" i="13"/>
  <c r="V5" i="13" s="1"/>
  <c r="W5" i="13" s="1"/>
  <c r="CD5" i="13"/>
  <c r="CC5" i="13"/>
  <c r="CD44" i="13"/>
  <c r="U44" i="13"/>
  <c r="V44" i="13" s="1"/>
  <c r="W44" i="13" s="1"/>
  <c r="CE44" i="13"/>
  <c r="CC44" i="13"/>
  <c r="T44" i="13"/>
  <c r="AB42" i="13"/>
  <c r="Z42" i="13"/>
  <c r="AA42" i="13"/>
  <c r="G8" i="12"/>
  <c r="AG8" i="12" s="1"/>
  <c r="F42" i="12"/>
  <c r="AA42" i="12" s="1"/>
  <c r="F16" i="12"/>
  <c r="G14" i="12"/>
  <c r="AF14" i="12" s="1"/>
  <c r="F37" i="12"/>
  <c r="AB37" i="12" s="1"/>
  <c r="AB30" i="12"/>
  <c r="AC30" i="12" s="1"/>
  <c r="F30" i="12" s="1"/>
  <c r="BV44" i="12"/>
  <c r="BZ44" i="12"/>
  <c r="BY44" i="12"/>
  <c r="BX44" i="12"/>
  <c r="BX5" i="12"/>
  <c r="BZ5" i="12"/>
  <c r="BY5" i="12"/>
  <c r="BV5" i="12"/>
  <c r="BO44" i="11"/>
  <c r="Q44" i="11"/>
  <c r="BP44" i="11"/>
  <c r="BN44" i="11"/>
  <c r="BL44" i="11"/>
  <c r="BL5" i="11"/>
  <c r="F42" i="11"/>
  <c r="F16" i="11"/>
  <c r="G14" i="11"/>
  <c r="G8" i="11"/>
  <c r="AB30" i="11"/>
  <c r="AC21" i="11"/>
  <c r="BP5" i="11"/>
  <c r="BO5" i="11"/>
  <c r="BN5" i="11"/>
  <c r="Q5" i="11"/>
  <c r="BG5" i="7"/>
  <c r="BI44" i="8"/>
  <c r="P44" i="8"/>
  <c r="BK44" i="8"/>
  <c r="BJ44" i="8"/>
  <c r="O44" i="8"/>
  <c r="BG44" i="8"/>
  <c r="AB27" i="8"/>
  <c r="AC27" i="8" s="1"/>
  <c r="AB28" i="8"/>
  <c r="AC28" i="8" s="1"/>
  <c r="AB23" i="8"/>
  <c r="AC23" i="8" s="1"/>
  <c r="AC18" i="8"/>
  <c r="F18" i="8" s="1"/>
  <c r="AB26" i="8"/>
  <c r="AC26" i="8" s="1"/>
  <c r="AB22" i="8"/>
  <c r="AC22" i="8" s="1"/>
  <c r="AB21" i="8"/>
  <c r="AB25" i="8"/>
  <c r="AC25" i="8" s="1"/>
  <c r="AB24" i="8"/>
  <c r="AC24" i="8" s="1"/>
  <c r="AB16" i="8"/>
  <c r="AC16" i="8" s="1"/>
  <c r="BK5" i="8"/>
  <c r="P5" i="8"/>
  <c r="BI5" i="8"/>
  <c r="BJ5" i="8"/>
  <c r="O5" i="8"/>
  <c r="AA30" i="5"/>
  <c r="AA24" i="7"/>
  <c r="AA16" i="7"/>
  <c r="AA26" i="7"/>
  <c r="AA22" i="7"/>
  <c r="AA21" i="7"/>
  <c r="AA27" i="7"/>
  <c r="AA23" i="7"/>
  <c r="AA25" i="7"/>
  <c r="AA28" i="7"/>
  <c r="AB17" i="7"/>
  <c r="AC17" i="7" s="1"/>
  <c r="F17" i="7" s="1"/>
  <c r="BK5" i="7"/>
  <c r="BJ5" i="7"/>
  <c r="BI5" i="7"/>
  <c r="P5" i="7"/>
  <c r="O5" i="7"/>
  <c r="BI44" i="7"/>
  <c r="P44" i="7"/>
  <c r="BK44" i="7"/>
  <c r="BJ44" i="7"/>
  <c r="BP5" i="5"/>
  <c r="Q5" i="5"/>
  <c r="BO5" i="5"/>
  <c r="BN5" i="5"/>
  <c r="AB18" i="5"/>
  <c r="BL5" i="5"/>
  <c r="BG44" i="5"/>
  <c r="BK44" i="5"/>
  <c r="BJ44" i="5"/>
  <c r="BI44" i="5"/>
  <c r="P44" i="5"/>
  <c r="AY46" i="1"/>
  <c r="BA46" i="1"/>
  <c r="AZ46" i="1"/>
  <c r="AW46" i="1"/>
  <c r="BL46" i="1"/>
  <c r="Y47" i="1"/>
  <c r="Y49" i="1" s="1"/>
  <c r="H22" i="1"/>
  <c r="AK22" i="1" s="1"/>
  <c r="Y8" i="1"/>
  <c r="S10" i="1"/>
  <c r="S11" i="1"/>
  <c r="S12" i="1"/>
  <c r="S13" i="1"/>
  <c r="R10" i="1"/>
  <c r="R11" i="1"/>
  <c r="R12" i="1"/>
  <c r="R13" i="1"/>
  <c r="Q10" i="1"/>
  <c r="Q11" i="1"/>
  <c r="Q12" i="1"/>
  <c r="Q13" i="1"/>
  <c r="P10" i="1"/>
  <c r="P11" i="1"/>
  <c r="T11" i="1" s="1"/>
  <c r="P12" i="1"/>
  <c r="P13" i="1"/>
  <c r="N10" i="1"/>
  <c r="N11" i="1"/>
  <c r="N12" i="1"/>
  <c r="N13" i="1"/>
  <c r="M10" i="1"/>
  <c r="M11" i="1"/>
  <c r="M12" i="1"/>
  <c r="M13" i="1"/>
  <c r="L11" i="1"/>
  <c r="L12" i="1"/>
  <c r="L13" i="1"/>
  <c r="K10" i="1"/>
  <c r="K11" i="1"/>
  <c r="K12" i="1"/>
  <c r="K13" i="1"/>
  <c r="I10" i="1"/>
  <c r="I11" i="1"/>
  <c r="I12" i="1"/>
  <c r="I13" i="1"/>
  <c r="H10" i="1"/>
  <c r="H11" i="1"/>
  <c r="H12" i="1"/>
  <c r="H13" i="1"/>
  <c r="I9" i="1"/>
  <c r="K9" i="1"/>
  <c r="L9" i="1"/>
  <c r="M9" i="1"/>
  <c r="N9" i="1"/>
  <c r="P9" i="1"/>
  <c r="Q9" i="1"/>
  <c r="R9" i="1"/>
  <c r="S9" i="1"/>
  <c r="H9" i="1"/>
  <c r="Z29" i="1"/>
  <c r="AA29" i="1"/>
  <c r="AB29" i="1"/>
  <c r="CE29" i="1"/>
  <c r="CD29" i="1"/>
  <c r="CC29" i="1"/>
  <c r="BZ29" i="1"/>
  <c r="BY29" i="1"/>
  <c r="BX29" i="1"/>
  <c r="BU29" i="1"/>
  <c r="BT29" i="1"/>
  <c r="BS29" i="1"/>
  <c r="BP29" i="1"/>
  <c r="BO29" i="1"/>
  <c r="BN29" i="1"/>
  <c r="BK29" i="1"/>
  <c r="BJ29" i="1"/>
  <c r="BI29" i="1"/>
  <c r="BF29" i="1"/>
  <c r="BE29" i="1"/>
  <c r="BD29" i="1"/>
  <c r="BA29" i="1"/>
  <c r="AZ29" i="1"/>
  <c r="AY29" i="1"/>
  <c r="AV29" i="1"/>
  <c r="AU29" i="1"/>
  <c r="AT29" i="1"/>
  <c r="AQ29" i="1"/>
  <c r="AP29" i="1"/>
  <c r="AO29" i="1"/>
  <c r="AL29" i="1"/>
  <c r="AK29" i="1"/>
  <c r="AJ29" i="1"/>
  <c r="AG29" i="1"/>
  <c r="AF29" i="1"/>
  <c r="AE29" i="1"/>
  <c r="Q38" i="1"/>
  <c r="S15" i="1"/>
  <c r="R15" i="1"/>
  <c r="Q15" i="1"/>
  <c r="P15" i="1"/>
  <c r="N15" i="1"/>
  <c r="M15" i="1"/>
  <c r="L15" i="1"/>
  <c r="K15" i="1"/>
  <c r="I15" i="1"/>
  <c r="H15" i="1"/>
  <c r="S22" i="1"/>
  <c r="R22" i="1"/>
  <c r="Q22" i="1"/>
  <c r="P22" i="1"/>
  <c r="N22" i="1"/>
  <c r="M22" i="1"/>
  <c r="L22" i="1"/>
  <c r="K22" i="1"/>
  <c r="I22" i="1"/>
  <c r="AJ23" i="1"/>
  <c r="K21" i="1"/>
  <c r="L21" i="1"/>
  <c r="M21" i="1"/>
  <c r="N21" i="1"/>
  <c r="P21" i="1"/>
  <c r="Q21" i="1"/>
  <c r="R21" i="1"/>
  <c r="S21" i="1"/>
  <c r="I21" i="1"/>
  <c r="H21" i="1"/>
  <c r="AH14" i="13" l="1"/>
  <c r="J9" i="1"/>
  <c r="J13" i="1"/>
  <c r="O15" i="1"/>
  <c r="T13" i="1"/>
  <c r="BL5" i="8"/>
  <c r="CF44" i="13"/>
  <c r="J15" i="1"/>
  <c r="O13" i="1"/>
  <c r="T10" i="1"/>
  <c r="J10" i="1"/>
  <c r="O11" i="1"/>
  <c r="J11" i="1"/>
  <c r="T15" i="1"/>
  <c r="AC42" i="13"/>
  <c r="AE17" i="13"/>
  <c r="AH8" i="13"/>
  <c r="F30" i="13"/>
  <c r="CF5" i="13"/>
  <c r="AB37" i="13"/>
  <c r="AB47" i="13" s="1"/>
  <c r="AB49" i="13" s="1"/>
  <c r="AA37" i="13"/>
  <c r="AA47" i="13" s="1"/>
  <c r="AA49" i="13" s="1"/>
  <c r="Z37" i="13"/>
  <c r="O10" i="1"/>
  <c r="T9" i="1"/>
  <c r="T12" i="1"/>
  <c r="J12" i="1"/>
  <c r="O12" i="1"/>
  <c r="AB42" i="12"/>
  <c r="AB47" i="12" s="1"/>
  <c r="AB49" i="12" s="1"/>
  <c r="CA44" i="12"/>
  <c r="G39" i="12"/>
  <c r="Z37" i="12"/>
  <c r="AF8" i="12"/>
  <c r="AE8" i="12"/>
  <c r="AA37" i="12"/>
  <c r="Z42" i="12"/>
  <c r="AG14" i="12"/>
  <c r="AE14" i="12"/>
  <c r="CA5" i="12"/>
  <c r="CE5" i="12"/>
  <c r="CC5" i="12"/>
  <c r="CD5" i="12"/>
  <c r="AA47" i="12"/>
  <c r="AA49" i="12" s="1"/>
  <c r="CC44" i="12"/>
  <c r="CE44" i="12"/>
  <c r="CD44" i="12"/>
  <c r="O9" i="1"/>
  <c r="BQ44" i="11"/>
  <c r="BU44" i="11"/>
  <c r="R44" i="11"/>
  <c r="BS44" i="11"/>
  <c r="BT44" i="11"/>
  <c r="R5" i="11"/>
  <c r="BS5" i="11"/>
  <c r="BU5" i="11"/>
  <c r="BT5" i="11"/>
  <c r="BQ5" i="11"/>
  <c r="F37" i="11"/>
  <c r="AG8" i="11"/>
  <c r="AF8" i="11"/>
  <c r="AE8" i="11"/>
  <c r="AC30" i="11"/>
  <c r="AE14" i="11"/>
  <c r="AG14" i="11"/>
  <c r="AF14" i="11"/>
  <c r="AB42" i="11"/>
  <c r="AA42" i="11"/>
  <c r="Z42" i="11"/>
  <c r="AB18" i="7"/>
  <c r="AB21" i="7" s="1"/>
  <c r="AC21" i="7" s="1"/>
  <c r="BL5" i="7"/>
  <c r="AB30" i="8"/>
  <c r="AC21" i="8"/>
  <c r="BP5" i="8"/>
  <c r="BO5" i="8"/>
  <c r="Q5" i="8"/>
  <c r="BN5" i="8"/>
  <c r="G14" i="8"/>
  <c r="G8" i="8"/>
  <c r="F16" i="8"/>
  <c r="BP44" i="8"/>
  <c r="BO44" i="8"/>
  <c r="Q44" i="8"/>
  <c r="BN44" i="8"/>
  <c r="BL44" i="8"/>
  <c r="Q5" i="7"/>
  <c r="BP5" i="7"/>
  <c r="BN5" i="7"/>
  <c r="BO5" i="7"/>
  <c r="AA30" i="7"/>
  <c r="BP44" i="7"/>
  <c r="BO44" i="7"/>
  <c r="Q44" i="7"/>
  <c r="BN44" i="7"/>
  <c r="BL44" i="7"/>
  <c r="BS5" i="5"/>
  <c r="BU5" i="5"/>
  <c r="BT5" i="5"/>
  <c r="R5" i="5"/>
  <c r="BP44" i="5"/>
  <c r="BO44" i="5"/>
  <c r="Q44" i="5"/>
  <c r="BN44" i="5"/>
  <c r="BL44" i="5"/>
  <c r="AB26" i="5"/>
  <c r="AC26" i="5" s="1"/>
  <c r="AB22" i="5"/>
  <c r="AC22" i="5" s="1"/>
  <c r="AB23" i="5"/>
  <c r="AC23" i="5" s="1"/>
  <c r="AC18" i="5"/>
  <c r="F18" i="5" s="1"/>
  <c r="AB21" i="5"/>
  <c r="AB28" i="5"/>
  <c r="AC28" i="5" s="1"/>
  <c r="AB24" i="5"/>
  <c r="AC24" i="5" s="1"/>
  <c r="AB16" i="5"/>
  <c r="AC16" i="5" s="1"/>
  <c r="AB27" i="5"/>
  <c r="AC27" i="5" s="1"/>
  <c r="AB25" i="5"/>
  <c r="AC25" i="5" s="1"/>
  <c r="BQ5" i="5"/>
  <c r="AL13" i="1"/>
  <c r="AK13" i="1"/>
  <c r="AJ13" i="1"/>
  <c r="AO13" i="1"/>
  <c r="AP13" i="1"/>
  <c r="AL12" i="1"/>
  <c r="AK12" i="1"/>
  <c r="AJ12" i="1"/>
  <c r="AO12" i="1"/>
  <c r="AP12" i="1"/>
  <c r="AL11" i="1"/>
  <c r="AK11" i="1"/>
  <c r="AJ11" i="1"/>
  <c r="AO11" i="1"/>
  <c r="AP11" i="1"/>
  <c r="AP10" i="1"/>
  <c r="AO10" i="1"/>
  <c r="AL10" i="1"/>
  <c r="AJ10" i="1"/>
  <c r="AK10" i="1"/>
  <c r="AO9" i="1"/>
  <c r="AQ9" i="1"/>
  <c r="AP9" i="1"/>
  <c r="AL9" i="1"/>
  <c r="AK9" i="1"/>
  <c r="AJ9" i="1"/>
  <c r="BB46" i="1"/>
  <c r="AK25" i="1"/>
  <c r="AK28" i="1" s="1"/>
  <c r="AJ26" i="1"/>
  <c r="AK23" i="1"/>
  <c r="AK26" i="1" s="1"/>
  <c r="AL23" i="1"/>
  <c r="AL26" i="1" s="1"/>
  <c r="AL22" i="1"/>
  <c r="AL25" i="1" s="1"/>
  <c r="AL28" i="1" s="1"/>
  <c r="AJ22" i="1"/>
  <c r="AJ25" i="1" s="1"/>
  <c r="AJ28" i="1" s="1"/>
  <c r="F41" i="1"/>
  <c r="I38" i="1"/>
  <c r="H38" i="1"/>
  <c r="G38" i="1"/>
  <c r="F38" i="1"/>
  <c r="S38" i="1"/>
  <c r="R38" i="1"/>
  <c r="P38" i="1"/>
  <c r="N38" i="1"/>
  <c r="M38" i="1"/>
  <c r="L38" i="1"/>
  <c r="K38" i="1"/>
  <c r="G36" i="1"/>
  <c r="F36" i="1"/>
  <c r="G35" i="1"/>
  <c r="F35" i="1"/>
  <c r="G33" i="1"/>
  <c r="F33" i="1"/>
  <c r="AH8" i="12" l="1"/>
  <c r="AH14" i="12"/>
  <c r="BQ5" i="8"/>
  <c r="AH14" i="11"/>
  <c r="AC42" i="12"/>
  <c r="G39" i="13"/>
  <c r="AC37" i="13"/>
  <c r="Z47" i="13"/>
  <c r="AE18" i="13"/>
  <c r="AB27" i="7"/>
  <c r="AC27" i="7" s="1"/>
  <c r="AB26" i="7"/>
  <c r="AC26" i="7" s="1"/>
  <c r="AB25" i="7"/>
  <c r="AC25" i="7" s="1"/>
  <c r="AC37" i="12"/>
  <c r="AE17" i="12"/>
  <c r="AE18" i="12" s="1"/>
  <c r="Z47" i="12"/>
  <c r="AC47" i="12" s="1"/>
  <c r="F47" i="12" s="1"/>
  <c r="CF44" i="12"/>
  <c r="AE39" i="12"/>
  <c r="AG39" i="12"/>
  <c r="AF39" i="12"/>
  <c r="CF5" i="12"/>
  <c r="BV44" i="11"/>
  <c r="S44" i="11"/>
  <c r="BZ44" i="11"/>
  <c r="BY44" i="11"/>
  <c r="BX44" i="11"/>
  <c r="AE17" i="11"/>
  <c r="AH8" i="11"/>
  <c r="Z37" i="11"/>
  <c r="AB37" i="11"/>
  <c r="AB47" i="11" s="1"/>
  <c r="AB49" i="11" s="1"/>
  <c r="AA37" i="11"/>
  <c r="AA47" i="11" s="1"/>
  <c r="AA49" i="11" s="1"/>
  <c r="AC42" i="11"/>
  <c r="F30" i="11"/>
  <c r="BV5" i="11"/>
  <c r="BZ5" i="11"/>
  <c r="S5" i="11"/>
  <c r="BX5" i="11"/>
  <c r="BY5" i="11"/>
  <c r="AB16" i="7"/>
  <c r="AC16" i="7" s="1"/>
  <c r="AB22" i="7"/>
  <c r="AC22" i="7" s="1"/>
  <c r="AC18" i="7"/>
  <c r="F18" i="7" s="1"/>
  <c r="G14" i="7" s="1"/>
  <c r="AB23" i="7"/>
  <c r="AC23" i="7" s="1"/>
  <c r="AB28" i="7"/>
  <c r="AC28" i="7" s="1"/>
  <c r="AB24" i="7"/>
  <c r="AC24" i="7" s="1"/>
  <c r="BQ44" i="8"/>
  <c r="AF8" i="8"/>
  <c r="AG8" i="8"/>
  <c r="AE8" i="8"/>
  <c r="AG14" i="8"/>
  <c r="AF14" i="8"/>
  <c r="AE14" i="8"/>
  <c r="AB42" i="8"/>
  <c r="AA42" i="8"/>
  <c r="Z42" i="8"/>
  <c r="F37" i="8"/>
  <c r="BS44" i="8"/>
  <c r="R44" i="8"/>
  <c r="BU44" i="8"/>
  <c r="BT44" i="8"/>
  <c r="AC30" i="8"/>
  <c r="BU5" i="8"/>
  <c r="R5" i="8"/>
  <c r="BS5" i="8"/>
  <c r="BT5" i="8"/>
  <c r="BQ44" i="5"/>
  <c r="BV5" i="5"/>
  <c r="BS5" i="7"/>
  <c r="BU5" i="7"/>
  <c r="BT5" i="7"/>
  <c r="R5" i="7"/>
  <c r="F37" i="7"/>
  <c r="BQ44" i="7"/>
  <c r="BS44" i="7"/>
  <c r="BU44" i="7"/>
  <c r="BT44" i="7"/>
  <c r="R44" i="7"/>
  <c r="BQ5" i="7"/>
  <c r="AB30" i="5"/>
  <c r="AC21" i="5"/>
  <c r="R44" i="5"/>
  <c r="BU44" i="5"/>
  <c r="BT44" i="5"/>
  <c r="BS44" i="5"/>
  <c r="F42" i="5"/>
  <c r="F16" i="5"/>
  <c r="G14" i="5"/>
  <c r="G8" i="5"/>
  <c r="S5" i="5"/>
  <c r="T5" i="5" s="1"/>
  <c r="BX5" i="5"/>
  <c r="BZ5" i="5"/>
  <c r="BY5" i="5"/>
  <c r="AM13" i="1"/>
  <c r="AM11" i="1"/>
  <c r="AM12" i="1"/>
  <c r="AM10" i="1"/>
  <c r="AM9" i="1"/>
  <c r="AR9" i="1"/>
  <c r="W38" i="1"/>
  <c r="V38" i="1"/>
  <c r="U38" i="1"/>
  <c r="H44" i="1"/>
  <c r="H4" i="1" s="1"/>
  <c r="H5" i="1"/>
  <c r="AE26" i="13" l="1"/>
  <c r="AE28" i="13"/>
  <c r="AE27" i="13"/>
  <c r="AE22" i="13"/>
  <c r="AE21" i="13"/>
  <c r="AE23" i="13"/>
  <c r="AE25" i="13"/>
  <c r="AE24" i="13"/>
  <c r="AE16" i="13"/>
  <c r="AF17" i="13"/>
  <c r="AC47" i="13"/>
  <c r="Z49" i="13"/>
  <c r="AG39" i="13"/>
  <c r="AE39" i="13"/>
  <c r="AF39" i="13"/>
  <c r="Z49" i="12"/>
  <c r="AH39" i="12"/>
  <c r="AE28" i="12"/>
  <c r="AE27" i="12"/>
  <c r="AE26" i="12"/>
  <c r="AE22" i="12"/>
  <c r="AE21" i="12"/>
  <c r="AE23" i="12"/>
  <c r="AE25" i="12"/>
  <c r="AE24" i="12"/>
  <c r="AE16" i="12"/>
  <c r="AF17" i="12"/>
  <c r="AF18" i="12" s="1"/>
  <c r="AC49" i="12"/>
  <c r="F49" i="12" s="1"/>
  <c r="CA44" i="11"/>
  <c r="T44" i="11"/>
  <c r="CC44" i="11"/>
  <c r="CD44" i="11"/>
  <c r="U44" i="11"/>
  <c r="V44" i="11" s="1"/>
  <c r="W44" i="11" s="1"/>
  <c r="CE44" i="11"/>
  <c r="CA5" i="11"/>
  <c r="CD5" i="11"/>
  <c r="CC5" i="11"/>
  <c r="U5" i="11"/>
  <c r="V5" i="11" s="1"/>
  <c r="W5" i="11" s="1"/>
  <c r="CE5" i="11"/>
  <c r="T5" i="11"/>
  <c r="AC37" i="11"/>
  <c r="Z47" i="11"/>
  <c r="G39" i="11"/>
  <c r="AE18" i="11"/>
  <c r="F16" i="7"/>
  <c r="F42" i="7"/>
  <c r="AA42" i="7" s="1"/>
  <c r="G8" i="7"/>
  <c r="AF8" i="7" s="1"/>
  <c r="AB30" i="7"/>
  <c r="AC30" i="7" s="1"/>
  <c r="AH14" i="8"/>
  <c r="AC42" i="8"/>
  <c r="BV44" i="8"/>
  <c r="S44" i="8"/>
  <c r="BZ44" i="8"/>
  <c r="BY44" i="8"/>
  <c r="BX44" i="8"/>
  <c r="BV5" i="8"/>
  <c r="BZ5" i="8"/>
  <c r="BY5" i="8"/>
  <c r="BX5" i="8"/>
  <c r="S5" i="8"/>
  <c r="T5" i="8" s="1"/>
  <c r="Z37" i="8"/>
  <c r="AA37" i="8"/>
  <c r="AA47" i="8" s="1"/>
  <c r="AA49" i="8" s="1"/>
  <c r="AB37" i="8"/>
  <c r="AB47" i="8" s="1"/>
  <c r="AB49" i="8" s="1"/>
  <c r="F30" i="8"/>
  <c r="AE17" i="8"/>
  <c r="AH8" i="8"/>
  <c r="CA5" i="5"/>
  <c r="Z37" i="7"/>
  <c r="AB37" i="7"/>
  <c r="AA37" i="7"/>
  <c r="S5" i="7"/>
  <c r="BY5" i="7"/>
  <c r="BX5" i="7"/>
  <c r="BZ5" i="7"/>
  <c r="S44" i="7"/>
  <c r="T44" i="7" s="1"/>
  <c r="BZ44" i="7"/>
  <c r="BY44" i="7"/>
  <c r="BX44" i="7"/>
  <c r="CA44" i="7" s="1"/>
  <c r="BV5" i="7"/>
  <c r="BV44" i="7"/>
  <c r="AG14" i="7"/>
  <c r="AF14" i="7"/>
  <c r="AE14" i="7"/>
  <c r="CC5" i="5"/>
  <c r="U5" i="5"/>
  <c r="V5" i="5" s="1"/>
  <c r="W5" i="5" s="1"/>
  <c r="CE5" i="5"/>
  <c r="CD5" i="5"/>
  <c r="BV44" i="5"/>
  <c r="AF8" i="5"/>
  <c r="AE8" i="5"/>
  <c r="AG8" i="5"/>
  <c r="AF14" i="5"/>
  <c r="AE14" i="5"/>
  <c r="AG14" i="5"/>
  <c r="F37" i="5"/>
  <c r="AC30" i="5"/>
  <c r="BZ44" i="5"/>
  <c r="BY44" i="5"/>
  <c r="BX44" i="5"/>
  <c r="S44" i="5"/>
  <c r="T44" i="5" s="1"/>
  <c r="AB42" i="5"/>
  <c r="AA42" i="5"/>
  <c r="Z42" i="5"/>
  <c r="AL5" i="1"/>
  <c r="AJ5" i="1"/>
  <c r="AK5" i="1"/>
  <c r="I44" i="1"/>
  <c r="K44" i="1" s="1"/>
  <c r="I5" i="1"/>
  <c r="AE33" i="1"/>
  <c r="AG36" i="1"/>
  <c r="AB36" i="1"/>
  <c r="AG35" i="1"/>
  <c r="AA35" i="1"/>
  <c r="Z34" i="1"/>
  <c r="AA34" i="1"/>
  <c r="AB34" i="1"/>
  <c r="Z38" i="1"/>
  <c r="AA38" i="1"/>
  <c r="AB38" i="1"/>
  <c r="Z41" i="1"/>
  <c r="AA41" i="1"/>
  <c r="AB41" i="1"/>
  <c r="Z45" i="1"/>
  <c r="AA45" i="1"/>
  <c r="AB45" i="1"/>
  <c r="AE34" i="1"/>
  <c r="AF34" i="1"/>
  <c r="AG34" i="1"/>
  <c r="AE38" i="1"/>
  <c r="AF38" i="1"/>
  <c r="AG38" i="1"/>
  <c r="AJ38" i="1"/>
  <c r="AK38" i="1"/>
  <c r="AL38" i="1"/>
  <c r="AO38" i="1"/>
  <c r="AP38" i="1"/>
  <c r="AQ38" i="1"/>
  <c r="AT38" i="1"/>
  <c r="AU38" i="1"/>
  <c r="AV38" i="1"/>
  <c r="AY38" i="1"/>
  <c r="AZ38" i="1"/>
  <c r="BA38" i="1"/>
  <c r="BD38" i="1"/>
  <c r="BE38" i="1"/>
  <c r="BF38" i="1"/>
  <c r="BI38" i="1"/>
  <c r="BJ38" i="1"/>
  <c r="BK38" i="1"/>
  <c r="BN38" i="1"/>
  <c r="BO38" i="1"/>
  <c r="BP38" i="1"/>
  <c r="BS38" i="1"/>
  <c r="BT38" i="1"/>
  <c r="BU38" i="1"/>
  <c r="BX38" i="1"/>
  <c r="BY38" i="1"/>
  <c r="BZ38" i="1"/>
  <c r="CC38" i="1"/>
  <c r="CD38" i="1"/>
  <c r="CE38" i="1"/>
  <c r="AH39" i="13" l="1"/>
  <c r="AE30" i="13"/>
  <c r="F47" i="13"/>
  <c r="AC49" i="13"/>
  <c r="F49" i="13" s="1"/>
  <c r="AF18" i="13"/>
  <c r="G41" i="12"/>
  <c r="G40" i="12"/>
  <c r="AF28" i="12"/>
  <c r="AF26" i="12"/>
  <c r="AF24" i="12"/>
  <c r="AF27" i="12"/>
  <c r="AF22" i="12"/>
  <c r="AF21" i="12"/>
  <c r="AF25" i="12"/>
  <c r="AF23" i="12"/>
  <c r="AF16" i="12"/>
  <c r="AG17" i="12"/>
  <c r="AH17" i="12" s="1"/>
  <c r="G17" i="12" s="1"/>
  <c r="AE30" i="12"/>
  <c r="CF44" i="11"/>
  <c r="AE39" i="11"/>
  <c r="AG39" i="11"/>
  <c r="AF39" i="11"/>
  <c r="AC47" i="11"/>
  <c r="Z49" i="11"/>
  <c r="AE28" i="11"/>
  <c r="AE25" i="11"/>
  <c r="AE23" i="11"/>
  <c r="AE16" i="11"/>
  <c r="AE26" i="11"/>
  <c r="AE22" i="11"/>
  <c r="AE21" i="11"/>
  <c r="AE27" i="11"/>
  <c r="AE24" i="11"/>
  <c r="AF17" i="11"/>
  <c r="AF18" i="11" s="1"/>
  <c r="CF5" i="11"/>
  <c r="Z42" i="7"/>
  <c r="AE8" i="7"/>
  <c r="AE17" i="7" s="1"/>
  <c r="AB42" i="7"/>
  <c r="AB47" i="7" s="1"/>
  <c r="AB49" i="7" s="1"/>
  <c r="AG8" i="7"/>
  <c r="AA47" i="7"/>
  <c r="AA49" i="7" s="1"/>
  <c r="CA44" i="8"/>
  <c r="AE18" i="8"/>
  <c r="G39" i="8"/>
  <c r="AC37" i="8"/>
  <c r="Z47" i="8"/>
  <c r="CE5" i="8"/>
  <c r="CC5" i="8"/>
  <c r="U5" i="8"/>
  <c r="V5" i="8" s="1"/>
  <c r="W5" i="8" s="1"/>
  <c r="CD5" i="8"/>
  <c r="CC44" i="8"/>
  <c r="CE44" i="8"/>
  <c r="CD44" i="8"/>
  <c r="U44" i="8"/>
  <c r="V44" i="8" s="1"/>
  <c r="W44" i="8" s="1"/>
  <c r="CA5" i="8"/>
  <c r="T44" i="8"/>
  <c r="CA44" i="5"/>
  <c r="AC42" i="5"/>
  <c r="CE5" i="7"/>
  <c r="U5" i="7"/>
  <c r="V5" i="7" s="1"/>
  <c r="W5" i="7" s="1"/>
  <c r="CD5" i="7"/>
  <c r="CC5" i="7"/>
  <c r="T5" i="7"/>
  <c r="CC44" i="7"/>
  <c r="CE44" i="7"/>
  <c r="CD44" i="7"/>
  <c r="U44" i="7"/>
  <c r="V44" i="7" s="1"/>
  <c r="W44" i="7" s="1"/>
  <c r="AC37" i="7"/>
  <c r="Z47" i="7"/>
  <c r="AH14" i="7"/>
  <c r="F30" i="7"/>
  <c r="CA5" i="7"/>
  <c r="AE17" i="5"/>
  <c r="AH8" i="5"/>
  <c r="AB37" i="5"/>
  <c r="AB47" i="5" s="1"/>
  <c r="AB49" i="5" s="1"/>
  <c r="AA37" i="5"/>
  <c r="AA47" i="5" s="1"/>
  <c r="AA49" i="5" s="1"/>
  <c r="Z37" i="5"/>
  <c r="CE44" i="5"/>
  <c r="CC44" i="5"/>
  <c r="U44" i="5"/>
  <c r="V44" i="5" s="1"/>
  <c r="W44" i="5" s="1"/>
  <c r="CD44" i="5"/>
  <c r="AH14" i="5"/>
  <c r="F30" i="5"/>
  <c r="CF5" i="5"/>
  <c r="AJ4" i="1"/>
  <c r="AL4" i="1"/>
  <c r="AK4" i="1"/>
  <c r="K5" i="1"/>
  <c r="L5" i="1" s="1"/>
  <c r="M5" i="1" s="1"/>
  <c r="N5" i="1" s="1"/>
  <c r="P5" i="1" s="1"/>
  <c r="AO5" i="1"/>
  <c r="AQ5" i="1"/>
  <c r="AP5" i="1"/>
  <c r="J44" i="1"/>
  <c r="J5" i="1"/>
  <c r="L44" i="1"/>
  <c r="AF35" i="1"/>
  <c r="AB35" i="1"/>
  <c r="AE35" i="1"/>
  <c r="Z35" i="1"/>
  <c r="AF33" i="1"/>
  <c r="AA36" i="1"/>
  <c r="Z36" i="1"/>
  <c r="AG33" i="1"/>
  <c r="AF36" i="1"/>
  <c r="AE36" i="1"/>
  <c r="G41" i="13" l="1"/>
  <c r="G40" i="13"/>
  <c r="AF25" i="13"/>
  <c r="AF26" i="13"/>
  <c r="AF28" i="13"/>
  <c r="AF24" i="13"/>
  <c r="AF27" i="13"/>
  <c r="AF22" i="13"/>
  <c r="AF21" i="13"/>
  <c r="AF16" i="13"/>
  <c r="AF23" i="13"/>
  <c r="AG17" i="13"/>
  <c r="AH17" i="13" s="1"/>
  <c r="G17" i="13" s="1"/>
  <c r="AF30" i="12"/>
  <c r="AG40" i="12"/>
  <c r="AF40" i="12"/>
  <c r="AE40" i="12"/>
  <c r="AG18" i="12"/>
  <c r="AF41" i="12"/>
  <c r="AE41" i="12"/>
  <c r="AG41" i="12"/>
  <c r="AF26" i="11"/>
  <c r="AF25" i="11"/>
  <c r="AF16" i="11"/>
  <c r="AF23" i="11"/>
  <c r="AF22" i="11"/>
  <c r="AF21" i="11"/>
  <c r="AF28" i="11"/>
  <c r="AF27" i="11"/>
  <c r="AF24" i="11"/>
  <c r="AG17" i="11"/>
  <c r="AG18" i="11" s="1"/>
  <c r="AE30" i="11"/>
  <c r="F47" i="11"/>
  <c r="AC49" i="11"/>
  <c r="F49" i="11" s="1"/>
  <c r="AH39" i="11"/>
  <c r="CF5" i="7"/>
  <c r="AH8" i="7"/>
  <c r="AC42" i="7"/>
  <c r="CF44" i="8"/>
  <c r="CF5" i="8"/>
  <c r="AC47" i="8"/>
  <c r="Z49" i="8"/>
  <c r="AF39" i="8"/>
  <c r="AE39" i="8"/>
  <c r="AG39" i="8"/>
  <c r="AE28" i="8"/>
  <c r="AE21" i="8"/>
  <c r="AE27" i="8"/>
  <c r="AE26" i="8"/>
  <c r="AE22" i="8"/>
  <c r="AE25" i="8"/>
  <c r="AE24" i="8"/>
  <c r="AE16" i="8"/>
  <c r="AE23" i="8"/>
  <c r="AF17" i="8"/>
  <c r="CF44" i="5"/>
  <c r="AE18" i="7"/>
  <c r="AC47" i="7"/>
  <c r="Z49" i="7"/>
  <c r="G39" i="7"/>
  <c r="CF44" i="7"/>
  <c r="G39" i="5"/>
  <c r="AC37" i="5"/>
  <c r="Z47" i="5"/>
  <c r="AE18" i="5"/>
  <c r="O5" i="1"/>
  <c r="Q5" i="1"/>
  <c r="R5" i="1" s="1"/>
  <c r="S5" i="1" s="1"/>
  <c r="U5" i="1" s="1"/>
  <c r="V5" i="1" s="1"/>
  <c r="W5" i="1" s="1"/>
  <c r="M44" i="1"/>
  <c r="BF44" i="1" s="1"/>
  <c r="BA44" i="1"/>
  <c r="AZ44" i="1"/>
  <c r="AY44" i="1"/>
  <c r="AV44" i="1"/>
  <c r="AU44" i="1"/>
  <c r="AT44" i="1"/>
  <c r="AQ44" i="1"/>
  <c r="AP44" i="1"/>
  <c r="AO44" i="1"/>
  <c r="AL44" i="1"/>
  <c r="AK44" i="1"/>
  <c r="AJ44" i="1"/>
  <c r="AG44" i="1"/>
  <c r="AF44" i="1"/>
  <c r="AE44" i="1"/>
  <c r="AB44" i="1"/>
  <c r="AA44" i="1"/>
  <c r="Z44" i="1"/>
  <c r="BP5" i="1"/>
  <c r="BO5" i="1"/>
  <c r="BN5" i="1"/>
  <c r="BK5" i="1"/>
  <c r="BJ5" i="1"/>
  <c r="BI5" i="1"/>
  <c r="BF5" i="1"/>
  <c r="BE5" i="1"/>
  <c r="BD5" i="1"/>
  <c r="BA5" i="1"/>
  <c r="AZ5" i="1"/>
  <c r="AY5" i="1"/>
  <c r="AV5" i="1"/>
  <c r="AU5" i="1"/>
  <c r="AT5" i="1"/>
  <c r="AQ10" i="1"/>
  <c r="AR10" i="1" s="1"/>
  <c r="AQ11" i="1"/>
  <c r="AR11" i="1" s="1"/>
  <c r="AQ12" i="1"/>
  <c r="AR12" i="1" s="1"/>
  <c r="AQ13" i="1"/>
  <c r="AR13" i="1" s="1"/>
  <c r="AT10" i="1"/>
  <c r="AT11" i="1"/>
  <c r="AT12" i="1"/>
  <c r="AT13" i="1"/>
  <c r="AU10" i="1"/>
  <c r="AU11" i="1"/>
  <c r="AU12" i="1"/>
  <c r="AU13" i="1"/>
  <c r="AV10" i="1"/>
  <c r="AV11" i="1"/>
  <c r="AV12" i="1"/>
  <c r="AV13" i="1"/>
  <c r="AY10" i="1"/>
  <c r="AY11" i="1"/>
  <c r="AY12" i="1"/>
  <c r="AY13" i="1"/>
  <c r="AZ10" i="1"/>
  <c r="AZ11" i="1"/>
  <c r="AZ12" i="1"/>
  <c r="AZ13" i="1"/>
  <c r="BA10" i="1"/>
  <c r="BA11" i="1"/>
  <c r="BA12" i="1"/>
  <c r="BA13" i="1"/>
  <c r="BD10" i="1"/>
  <c r="BD11" i="1"/>
  <c r="BD12" i="1"/>
  <c r="BD13" i="1"/>
  <c r="BE10" i="1"/>
  <c r="BE11" i="1"/>
  <c r="BE12" i="1"/>
  <c r="BE13" i="1"/>
  <c r="BF10" i="1"/>
  <c r="BF11" i="1"/>
  <c r="BF12" i="1"/>
  <c r="BF13" i="1"/>
  <c r="BI10" i="1"/>
  <c r="BI11" i="1"/>
  <c r="BI12" i="1"/>
  <c r="BI13" i="1"/>
  <c r="BJ10" i="1"/>
  <c r="BJ11" i="1"/>
  <c r="BJ12" i="1"/>
  <c r="BJ13" i="1"/>
  <c r="BK10" i="1"/>
  <c r="BK11" i="1"/>
  <c r="BK12" i="1"/>
  <c r="BK13" i="1"/>
  <c r="BN10" i="1"/>
  <c r="BN11" i="1"/>
  <c r="BN12" i="1"/>
  <c r="BN13" i="1"/>
  <c r="BO10" i="1"/>
  <c r="BO11" i="1"/>
  <c r="BO12" i="1"/>
  <c r="BO13" i="1"/>
  <c r="BP10" i="1"/>
  <c r="BP11" i="1"/>
  <c r="BP12" i="1"/>
  <c r="BP13" i="1"/>
  <c r="BS10" i="1"/>
  <c r="BS11" i="1"/>
  <c r="BS12" i="1"/>
  <c r="BS13" i="1"/>
  <c r="BT10" i="1"/>
  <c r="BT11" i="1"/>
  <c r="BT12" i="1"/>
  <c r="BT13" i="1"/>
  <c r="BU10" i="1"/>
  <c r="BU11" i="1"/>
  <c r="BU12" i="1"/>
  <c r="BU13" i="1"/>
  <c r="BX10" i="1"/>
  <c r="BX11" i="1"/>
  <c r="BX12" i="1"/>
  <c r="BX13" i="1"/>
  <c r="BY10" i="1"/>
  <c r="BY11" i="1"/>
  <c r="BY12" i="1"/>
  <c r="BY13" i="1"/>
  <c r="BZ10" i="1"/>
  <c r="BZ11" i="1"/>
  <c r="BZ12" i="1"/>
  <c r="BZ13" i="1"/>
  <c r="CC10" i="1"/>
  <c r="CC11" i="1"/>
  <c r="CC12" i="1"/>
  <c r="CC13" i="1"/>
  <c r="CD10" i="1"/>
  <c r="CD11" i="1"/>
  <c r="CD12" i="1"/>
  <c r="CD13" i="1"/>
  <c r="CE10" i="1"/>
  <c r="CE11" i="1"/>
  <c r="CE12" i="1"/>
  <c r="CE13" i="1"/>
  <c r="CE9" i="1"/>
  <c r="CD9" i="1"/>
  <c r="CC9" i="1"/>
  <c r="BZ9" i="1"/>
  <c r="BY9" i="1"/>
  <c r="BX9" i="1"/>
  <c r="BU9" i="1"/>
  <c r="BT9" i="1"/>
  <c r="BS9" i="1"/>
  <c r="BP9" i="1"/>
  <c r="BO9" i="1"/>
  <c r="BN9" i="1"/>
  <c r="BK9" i="1"/>
  <c r="BJ9" i="1"/>
  <c r="BI9" i="1"/>
  <c r="BF9" i="1"/>
  <c r="BE9" i="1"/>
  <c r="BD9" i="1"/>
  <c r="BA9" i="1"/>
  <c r="AZ9" i="1"/>
  <c r="AY9" i="1"/>
  <c r="AV9" i="1"/>
  <c r="AU9" i="1"/>
  <c r="AT9" i="1"/>
  <c r="AH17" i="11" l="1"/>
  <c r="G17" i="11" s="1"/>
  <c r="AF30" i="13"/>
  <c r="AG18" i="13"/>
  <c r="AF40" i="13"/>
  <c r="AE40" i="13"/>
  <c r="AG40" i="13"/>
  <c r="AF41" i="13"/>
  <c r="AE41" i="13"/>
  <c r="AG41" i="13"/>
  <c r="AH40" i="12"/>
  <c r="AG27" i="12"/>
  <c r="AH27" i="12" s="1"/>
  <c r="AG25" i="12"/>
  <c r="AH25" i="12" s="1"/>
  <c r="AG28" i="12"/>
  <c r="AH28" i="12" s="1"/>
  <c r="AG26" i="12"/>
  <c r="AH26" i="12" s="1"/>
  <c r="AG22" i="12"/>
  <c r="AH22" i="12" s="1"/>
  <c r="AG21" i="12"/>
  <c r="AG23" i="12"/>
  <c r="AH23" i="12" s="1"/>
  <c r="AG24" i="12"/>
  <c r="AH24" i="12" s="1"/>
  <c r="AG16" i="12"/>
  <c r="AH16" i="12" s="1"/>
  <c r="AH18" i="12"/>
  <c r="G18" i="12" s="1"/>
  <c r="AH41" i="12"/>
  <c r="AG27" i="11"/>
  <c r="AH27" i="11" s="1"/>
  <c r="AG25" i="11"/>
  <c r="AH25" i="11" s="1"/>
  <c r="AG28" i="11"/>
  <c r="AH28" i="11" s="1"/>
  <c r="AG24" i="11"/>
  <c r="AG16" i="11"/>
  <c r="AH16" i="11" s="1"/>
  <c r="AG26" i="11"/>
  <c r="AH26" i="11" s="1"/>
  <c r="AH18" i="11"/>
  <c r="G18" i="11" s="1"/>
  <c r="AG23" i="11"/>
  <c r="AH23" i="11" s="1"/>
  <c r="AG22" i="11"/>
  <c r="AH22" i="11" s="1"/>
  <c r="AG21" i="11"/>
  <c r="AH21" i="11" s="1"/>
  <c r="AH24" i="11"/>
  <c r="G40" i="11"/>
  <c r="G41" i="11"/>
  <c r="AF30" i="11"/>
  <c r="AH39" i="8"/>
  <c r="F47" i="8"/>
  <c r="AC49" i="8"/>
  <c r="F49" i="8" s="1"/>
  <c r="AF18" i="8"/>
  <c r="AE30" i="8"/>
  <c r="AE39" i="7"/>
  <c r="AG39" i="7"/>
  <c r="AF39" i="7"/>
  <c r="F47" i="7"/>
  <c r="AC49" i="7"/>
  <c r="F49" i="7" s="1"/>
  <c r="AE28" i="7"/>
  <c r="AE26" i="7"/>
  <c r="AE24" i="7"/>
  <c r="AE23" i="7"/>
  <c r="AE22" i="7"/>
  <c r="AE25" i="7"/>
  <c r="AE16" i="7"/>
  <c r="AE27" i="7"/>
  <c r="AE21" i="7"/>
  <c r="AF17" i="7"/>
  <c r="AF39" i="5"/>
  <c r="AG39" i="5"/>
  <c r="AE39" i="5"/>
  <c r="AE23" i="5"/>
  <c r="AE28" i="5"/>
  <c r="AE24" i="5"/>
  <c r="AE26" i="5"/>
  <c r="AE22" i="5"/>
  <c r="AE16" i="5"/>
  <c r="AE27" i="5"/>
  <c r="AE25" i="5"/>
  <c r="AE21" i="5"/>
  <c r="AF17" i="5"/>
  <c r="AC47" i="5"/>
  <c r="Z49" i="5"/>
  <c r="BB9" i="1"/>
  <c r="T5" i="1"/>
  <c r="BV10" i="1"/>
  <c r="BV11" i="1"/>
  <c r="BB10" i="1"/>
  <c r="BL11" i="1"/>
  <c r="BQ9" i="1"/>
  <c r="BV9" i="1"/>
  <c r="CF10" i="1"/>
  <c r="BL10" i="1"/>
  <c r="CA11" i="1"/>
  <c r="CF11" i="1"/>
  <c r="BQ13" i="1"/>
  <c r="CF13" i="1"/>
  <c r="BL13" i="1"/>
  <c r="CA13" i="1"/>
  <c r="BG13" i="1"/>
  <c r="AW13" i="1"/>
  <c r="BV13" i="1"/>
  <c r="BB13" i="1"/>
  <c r="CF12" i="1"/>
  <c r="BV12" i="1"/>
  <c r="BL12" i="1"/>
  <c r="BB12" i="1"/>
  <c r="CA12" i="1"/>
  <c r="BQ12" i="1"/>
  <c r="BG12" i="1"/>
  <c r="AW12" i="1"/>
  <c r="BB11" i="1"/>
  <c r="BQ11" i="1"/>
  <c r="BG11" i="1"/>
  <c r="AW11" i="1"/>
  <c r="CA10" i="1"/>
  <c r="BQ10" i="1"/>
  <c r="BG10" i="1"/>
  <c r="AW10" i="1"/>
  <c r="BL9" i="1"/>
  <c r="CA9" i="1"/>
  <c r="CF9" i="1"/>
  <c r="BG9" i="1"/>
  <c r="AW9" i="1"/>
  <c r="CE5" i="1"/>
  <c r="BS5" i="1"/>
  <c r="BZ5" i="1"/>
  <c r="BY5" i="1"/>
  <c r="CC5" i="1"/>
  <c r="CD5" i="1"/>
  <c r="BT5" i="1"/>
  <c r="BU5" i="1"/>
  <c r="BX5" i="1"/>
  <c r="BD44" i="1"/>
  <c r="BE44" i="1"/>
  <c r="N44" i="1"/>
  <c r="BG5" i="1"/>
  <c r="AW44" i="1"/>
  <c r="BB44" i="1"/>
  <c r="AH44" i="1"/>
  <c r="AC7" i="1"/>
  <c r="AM44" i="1"/>
  <c r="AC44" i="1"/>
  <c r="AR44" i="1"/>
  <c r="BQ5" i="1"/>
  <c r="BL5" i="1"/>
  <c r="AR5" i="1"/>
  <c r="AM5" i="1"/>
  <c r="AH6" i="1"/>
  <c r="AC6" i="1"/>
  <c r="BB5" i="1"/>
  <c r="AH5" i="1"/>
  <c r="AW5" i="1"/>
  <c r="AH7" i="1"/>
  <c r="AG15" i="1"/>
  <c r="AF15" i="1"/>
  <c r="AE15" i="1"/>
  <c r="AH15" i="1" l="1"/>
  <c r="AH41" i="13"/>
  <c r="AH40" i="13"/>
  <c r="AG27" i="13"/>
  <c r="AH27" i="13" s="1"/>
  <c r="AG22" i="13"/>
  <c r="AH22" i="13" s="1"/>
  <c r="AG21" i="13"/>
  <c r="AG23" i="13"/>
  <c r="AH23" i="13" s="1"/>
  <c r="AG25" i="13"/>
  <c r="AH25" i="13" s="1"/>
  <c r="AG28" i="13"/>
  <c r="AH28" i="13" s="1"/>
  <c r="AG26" i="13"/>
  <c r="AH26" i="13" s="1"/>
  <c r="AG24" i="13"/>
  <c r="AH24" i="13" s="1"/>
  <c r="AG16" i="13"/>
  <c r="AH16" i="13" s="1"/>
  <c r="AH18" i="13"/>
  <c r="G18" i="13" s="1"/>
  <c r="G42" i="12"/>
  <c r="G16" i="12"/>
  <c r="H14" i="12"/>
  <c r="H6" i="12"/>
  <c r="AG30" i="12"/>
  <c r="AH21" i="12"/>
  <c r="G37" i="11"/>
  <c r="AF41" i="11"/>
  <c r="AE41" i="11"/>
  <c r="AG41" i="11"/>
  <c r="AG30" i="11"/>
  <c r="AH30" i="11" s="1"/>
  <c r="AG40" i="11"/>
  <c r="AF40" i="11"/>
  <c r="AE40" i="11"/>
  <c r="G42" i="11"/>
  <c r="G16" i="11"/>
  <c r="H14" i="11"/>
  <c r="H6" i="11"/>
  <c r="AF27" i="8"/>
  <c r="AF25" i="8"/>
  <c r="AF28" i="8"/>
  <c r="AF23" i="8"/>
  <c r="AF26" i="8"/>
  <c r="AF22" i="8"/>
  <c r="AF24" i="8"/>
  <c r="AF16" i="8"/>
  <c r="AF21" i="8"/>
  <c r="AG17" i="8"/>
  <c r="AH17" i="8" s="1"/>
  <c r="G17" i="8" s="1"/>
  <c r="G40" i="8"/>
  <c r="AE30" i="7"/>
  <c r="AF18" i="7"/>
  <c r="G40" i="7"/>
  <c r="G41" i="7"/>
  <c r="AH39" i="7"/>
  <c r="F47" i="5"/>
  <c r="AC49" i="5"/>
  <c r="F49" i="5" s="1"/>
  <c r="AF18" i="5"/>
  <c r="AH39" i="5"/>
  <c r="AE30" i="5"/>
  <c r="CA5" i="1"/>
  <c r="CF5" i="1"/>
  <c r="BV5" i="1"/>
  <c r="BG44" i="1"/>
  <c r="P44" i="1"/>
  <c r="BI44" i="1"/>
  <c r="O44" i="1"/>
  <c r="BK44" i="1"/>
  <c r="BJ44" i="1"/>
  <c r="Z17" i="1"/>
  <c r="AR29" i="1"/>
  <c r="AW29" i="1"/>
  <c r="BB29" i="1"/>
  <c r="BG29" i="1"/>
  <c r="BL29" i="1"/>
  <c r="AC34" i="1"/>
  <c r="AH34" i="1"/>
  <c r="AC38" i="1"/>
  <c r="AH38" i="1"/>
  <c r="AM38" i="1"/>
  <c r="AR38" i="1"/>
  <c r="AW38" i="1"/>
  <c r="BB38" i="1"/>
  <c r="BG38" i="1"/>
  <c r="BL38" i="1"/>
  <c r="BQ38" i="1"/>
  <c r="BV38" i="1"/>
  <c r="CA38" i="1"/>
  <c r="CF38" i="1"/>
  <c r="AC41" i="1"/>
  <c r="AC45" i="1"/>
  <c r="G42" i="13" l="1"/>
  <c r="G16" i="13"/>
  <c r="H6" i="13"/>
  <c r="H8" i="13" s="1"/>
  <c r="H14" i="13"/>
  <c r="AG30" i="13"/>
  <c r="AH21" i="13"/>
  <c r="G37" i="12"/>
  <c r="H8" i="12"/>
  <c r="AF42" i="12"/>
  <c r="AG42" i="12"/>
  <c r="AE42" i="12"/>
  <c r="AH30" i="12"/>
  <c r="G30" i="12" s="1"/>
  <c r="AJ6" i="12"/>
  <c r="AL6" i="12"/>
  <c r="AK6" i="12"/>
  <c r="AJ14" i="12"/>
  <c r="AL14" i="12"/>
  <c r="AK14" i="12"/>
  <c r="AH41" i="11"/>
  <c r="AH40" i="11"/>
  <c r="AL6" i="11"/>
  <c r="AK6" i="11"/>
  <c r="AJ6" i="11"/>
  <c r="H8" i="11"/>
  <c r="AK14" i="11"/>
  <c r="AL14" i="11"/>
  <c r="AJ14" i="11"/>
  <c r="AF42" i="11"/>
  <c r="AG42" i="11"/>
  <c r="AE42" i="11"/>
  <c r="G30" i="11"/>
  <c r="AG37" i="11"/>
  <c r="AE37" i="11"/>
  <c r="AF37" i="11"/>
  <c r="AE40" i="8"/>
  <c r="AG40" i="8"/>
  <c r="AF40" i="8"/>
  <c r="AE41" i="8"/>
  <c r="AF41" i="8"/>
  <c r="AG41" i="8"/>
  <c r="AF30" i="8"/>
  <c r="AG18" i="8"/>
  <c r="AF28" i="7"/>
  <c r="AF26" i="7"/>
  <c r="AF22" i="7"/>
  <c r="AF21" i="7"/>
  <c r="AF24" i="7"/>
  <c r="AF16" i="7"/>
  <c r="AF23" i="7"/>
  <c r="AF25" i="7"/>
  <c r="AF27" i="7"/>
  <c r="AG17" i="7"/>
  <c r="AH17" i="7" s="1"/>
  <c r="G17" i="7" s="1"/>
  <c r="AF41" i="7"/>
  <c r="AE41" i="7"/>
  <c r="AG41" i="7"/>
  <c r="AG40" i="7"/>
  <c r="AE40" i="7"/>
  <c r="AF40" i="7"/>
  <c r="AF28" i="5"/>
  <c r="AF24" i="5"/>
  <c r="AF27" i="5"/>
  <c r="AF25" i="5"/>
  <c r="AF26" i="5"/>
  <c r="AF22" i="5"/>
  <c r="AF16" i="5"/>
  <c r="AF23" i="5"/>
  <c r="AF21" i="5"/>
  <c r="AG17" i="5"/>
  <c r="AH17" i="5" s="1"/>
  <c r="G17" i="5" s="1"/>
  <c r="G40" i="5"/>
  <c r="G41" i="5"/>
  <c r="BL44" i="1"/>
  <c r="Q44" i="1"/>
  <c r="BP44" i="1"/>
  <c r="BO44" i="1"/>
  <c r="BN44" i="1"/>
  <c r="O29" i="1"/>
  <c r="T38" i="1"/>
  <c r="J38" i="1"/>
  <c r="O38" i="1"/>
  <c r="AH36" i="1"/>
  <c r="AH33" i="1"/>
  <c r="AC35" i="1"/>
  <c r="AC36" i="1"/>
  <c r="AH35" i="1"/>
  <c r="AM6" i="11" l="1"/>
  <c r="AH42" i="11"/>
  <c r="AF47" i="11"/>
  <c r="AF49" i="11" s="1"/>
  <c r="G37" i="13"/>
  <c r="AH30" i="13"/>
  <c r="AK8" i="13"/>
  <c r="AL8" i="13"/>
  <c r="AJ8" i="13"/>
  <c r="AL14" i="13"/>
  <c r="AK14" i="13"/>
  <c r="AJ14" i="13"/>
  <c r="AL6" i="13"/>
  <c r="AJ6" i="13"/>
  <c r="AK6" i="13"/>
  <c r="AE42" i="13"/>
  <c r="AG42" i="13"/>
  <c r="AF42" i="13"/>
  <c r="AL8" i="12"/>
  <c r="AJ8" i="12"/>
  <c r="AJ17" i="12" s="1"/>
  <c r="AK8" i="12"/>
  <c r="H45" i="12"/>
  <c r="I4" i="12" s="1"/>
  <c r="J4" i="12" s="1"/>
  <c r="H39" i="12"/>
  <c r="AH42" i="12"/>
  <c r="AM14" i="12"/>
  <c r="AF37" i="12"/>
  <c r="AF47" i="12" s="1"/>
  <c r="AF49" i="12" s="1"/>
  <c r="AG37" i="12"/>
  <c r="AG47" i="12" s="1"/>
  <c r="AG49" i="12" s="1"/>
  <c r="AE37" i="12"/>
  <c r="AM6" i="12"/>
  <c r="H39" i="11"/>
  <c r="H45" i="11"/>
  <c r="AK8" i="11"/>
  <c r="AL8" i="11"/>
  <c r="AJ8" i="11"/>
  <c r="AH37" i="11"/>
  <c r="AE47" i="11"/>
  <c r="AG47" i="11"/>
  <c r="AG49" i="11" s="1"/>
  <c r="AM14" i="11"/>
  <c r="AG18" i="7"/>
  <c r="AG28" i="7" s="1"/>
  <c r="AH28" i="7" s="1"/>
  <c r="AH40" i="7"/>
  <c r="AH41" i="8"/>
  <c r="AG27" i="8"/>
  <c r="AH27" i="8" s="1"/>
  <c r="AG26" i="8"/>
  <c r="AH26" i="8" s="1"/>
  <c r="AG25" i="8"/>
  <c r="AH25" i="8" s="1"/>
  <c r="AG24" i="8"/>
  <c r="AH24" i="8" s="1"/>
  <c r="AG23" i="8"/>
  <c r="AH23" i="8" s="1"/>
  <c r="AH18" i="8"/>
  <c r="G18" i="8" s="1"/>
  <c r="AG21" i="8"/>
  <c r="AG28" i="8"/>
  <c r="AH28" i="8" s="1"/>
  <c r="AG22" i="8"/>
  <c r="AH22" i="8" s="1"/>
  <c r="AG16" i="8"/>
  <c r="AH16" i="8" s="1"/>
  <c r="AH40" i="8"/>
  <c r="AH41" i="7"/>
  <c r="AF30" i="7"/>
  <c r="AG18" i="5"/>
  <c r="AG41" i="5"/>
  <c r="AF41" i="5"/>
  <c r="AE41" i="5"/>
  <c r="AE40" i="5"/>
  <c r="AG40" i="5"/>
  <c r="AF40" i="5"/>
  <c r="AF30" i="5"/>
  <c r="BQ44" i="1"/>
  <c r="R44" i="1"/>
  <c r="BU44" i="1"/>
  <c r="BT44" i="1"/>
  <c r="BS44" i="1"/>
  <c r="Z18" i="1"/>
  <c r="AH42" i="13" l="1"/>
  <c r="AM6" i="13"/>
  <c r="AJ17" i="13"/>
  <c r="AM8" i="13"/>
  <c r="G30" i="13"/>
  <c r="AM14" i="13"/>
  <c r="AF37" i="13"/>
  <c r="AF47" i="13" s="1"/>
  <c r="AF49" i="13" s="1"/>
  <c r="AE37" i="13"/>
  <c r="AG37" i="13"/>
  <c r="AG47" i="13" s="1"/>
  <c r="AG49" i="13" s="1"/>
  <c r="AM8" i="12"/>
  <c r="AH37" i="12"/>
  <c r="AE47" i="12"/>
  <c r="AJ18" i="12"/>
  <c r="AJ17" i="11"/>
  <c r="AM8" i="11"/>
  <c r="AK45" i="11"/>
  <c r="AJ45" i="11"/>
  <c r="AL45" i="11"/>
  <c r="I4" i="11"/>
  <c r="AH47" i="11"/>
  <c r="AE49" i="11"/>
  <c r="AJ39" i="11"/>
  <c r="AL39" i="11"/>
  <c r="AK39" i="11"/>
  <c r="AH18" i="7"/>
  <c r="G18" i="7" s="1"/>
  <c r="H14" i="7" s="1"/>
  <c r="AG27" i="7"/>
  <c r="AH27" i="7" s="1"/>
  <c r="AG22" i="7"/>
  <c r="AH22" i="7" s="1"/>
  <c r="AG21" i="7"/>
  <c r="AH21" i="7" s="1"/>
  <c r="AG23" i="7"/>
  <c r="AH23" i="7" s="1"/>
  <c r="AG26" i="7"/>
  <c r="AH26" i="7" s="1"/>
  <c r="AG24" i="7"/>
  <c r="AH24" i="7" s="1"/>
  <c r="AG25" i="7"/>
  <c r="AH25" i="7" s="1"/>
  <c r="AG16" i="7"/>
  <c r="AH16" i="7" s="1"/>
  <c r="AG30" i="8"/>
  <c r="AH21" i="8"/>
  <c r="G16" i="8"/>
  <c r="H14" i="8"/>
  <c r="H6" i="8"/>
  <c r="H8" i="8" s="1"/>
  <c r="AH41" i="5"/>
  <c r="AH40" i="5"/>
  <c r="G42" i="7"/>
  <c r="AG28" i="5"/>
  <c r="AH28" i="5" s="1"/>
  <c r="AG24" i="5"/>
  <c r="AH24" i="5" s="1"/>
  <c r="AG27" i="5"/>
  <c r="AH27" i="5" s="1"/>
  <c r="AG25" i="5"/>
  <c r="AH25" i="5" s="1"/>
  <c r="AG16" i="5"/>
  <c r="AH16" i="5" s="1"/>
  <c r="AG22" i="5"/>
  <c r="AH22" i="5" s="1"/>
  <c r="AH18" i="5"/>
  <c r="G18" i="5" s="1"/>
  <c r="AG23" i="5"/>
  <c r="AH23" i="5" s="1"/>
  <c r="AG21" i="5"/>
  <c r="AG26" i="5"/>
  <c r="AH26" i="5" s="1"/>
  <c r="Z16" i="1"/>
  <c r="BV44" i="1"/>
  <c r="S44" i="1"/>
  <c r="U44" i="1" s="1"/>
  <c r="V44" i="1" s="1"/>
  <c r="W44" i="1" s="1"/>
  <c r="BZ44" i="1"/>
  <c r="BY44" i="1"/>
  <c r="BX44" i="1"/>
  <c r="Z26" i="1"/>
  <c r="Z22" i="1"/>
  <c r="Z25" i="1"/>
  <c r="Z21" i="1"/>
  <c r="Z23" i="1"/>
  <c r="Z28" i="1"/>
  <c r="Z24" i="1"/>
  <c r="Z27" i="1"/>
  <c r="AM45" i="11" l="1"/>
  <c r="H39" i="13"/>
  <c r="H45" i="13"/>
  <c r="AH37" i="13"/>
  <c r="AE47" i="13"/>
  <c r="AJ18" i="13"/>
  <c r="H6" i="7"/>
  <c r="AL6" i="7" s="1"/>
  <c r="G16" i="7"/>
  <c r="AJ21" i="12"/>
  <c r="AJ16" i="12"/>
  <c r="AK17" i="12"/>
  <c r="AK18" i="12" s="1"/>
  <c r="AH47" i="12"/>
  <c r="G47" i="12" s="1"/>
  <c r="AE49" i="12"/>
  <c r="AL45" i="12"/>
  <c r="AK45" i="12"/>
  <c r="AJ45" i="12"/>
  <c r="AJ39" i="12"/>
  <c r="AL39" i="12"/>
  <c r="AK39" i="12"/>
  <c r="AM39" i="11"/>
  <c r="G47" i="11"/>
  <c r="AH49" i="11"/>
  <c r="G49" i="11" s="1"/>
  <c r="AJ18" i="11"/>
  <c r="AP4" i="11"/>
  <c r="AQ4" i="11"/>
  <c r="AO4" i="11"/>
  <c r="J4" i="11"/>
  <c r="AG30" i="7"/>
  <c r="AH30" i="7" s="1"/>
  <c r="G30" i="7" s="1"/>
  <c r="G37" i="8"/>
  <c r="AH30" i="8"/>
  <c r="AL6" i="8"/>
  <c r="AK6" i="8"/>
  <c r="AJ6" i="8"/>
  <c r="AK8" i="8"/>
  <c r="AL8" i="8"/>
  <c r="AJ8" i="8"/>
  <c r="AL14" i="8"/>
  <c r="AK14" i="8"/>
  <c r="AJ14" i="8"/>
  <c r="AE42" i="8"/>
  <c r="AG42" i="8"/>
  <c r="AF42" i="8"/>
  <c r="AF42" i="7"/>
  <c r="AG42" i="7"/>
  <c r="AE42" i="7"/>
  <c r="AL14" i="7"/>
  <c r="AK14" i="7"/>
  <c r="AJ14" i="7"/>
  <c r="G37" i="7"/>
  <c r="AG30" i="5"/>
  <c r="AH21" i="5"/>
  <c r="G42" i="5"/>
  <c r="H14" i="5"/>
  <c r="G16" i="5"/>
  <c r="H6" i="5"/>
  <c r="H8" i="5" s="1"/>
  <c r="CA44" i="1"/>
  <c r="Z30" i="1"/>
  <c r="AM6" i="8" l="1"/>
  <c r="AH47" i="13"/>
  <c r="AE49" i="13"/>
  <c r="AK45" i="13"/>
  <c r="AL45" i="13"/>
  <c r="AJ45" i="13"/>
  <c r="AM45" i="13" s="1"/>
  <c r="I4" i="13"/>
  <c r="AJ21" i="13"/>
  <c r="AJ16" i="13"/>
  <c r="AK17" i="13"/>
  <c r="AL39" i="13"/>
  <c r="AJ39" i="13"/>
  <c r="AK39" i="13"/>
  <c r="H8" i="7"/>
  <c r="AL8" i="7" s="1"/>
  <c r="AJ6" i="7"/>
  <c r="AK6" i="7"/>
  <c r="AH49" i="12"/>
  <c r="G49" i="12" s="1"/>
  <c r="AM39" i="12"/>
  <c r="AQ4" i="12"/>
  <c r="AO4" i="12"/>
  <c r="AP4" i="12"/>
  <c r="AM45" i="12"/>
  <c r="AK21" i="12"/>
  <c r="AK16" i="12"/>
  <c r="AL17" i="12"/>
  <c r="AM17" i="12" s="1"/>
  <c r="H17" i="12" s="1"/>
  <c r="AJ24" i="12"/>
  <c r="AJ21" i="11"/>
  <c r="AJ16" i="11"/>
  <c r="AK17" i="11"/>
  <c r="H41" i="11"/>
  <c r="H40" i="11"/>
  <c r="AR4" i="11"/>
  <c r="AH42" i="7"/>
  <c r="AM14" i="7"/>
  <c r="AM14" i="8"/>
  <c r="AH42" i="8"/>
  <c r="G30" i="8"/>
  <c r="AJ17" i="8"/>
  <c r="AM8" i="8"/>
  <c r="AE37" i="8"/>
  <c r="AF37" i="8"/>
  <c r="AF47" i="8" s="1"/>
  <c r="AF49" i="8" s="1"/>
  <c r="AG37" i="8"/>
  <c r="AG47" i="8" s="1"/>
  <c r="AG49" i="8" s="1"/>
  <c r="AF37" i="7"/>
  <c r="AF47" i="7" s="1"/>
  <c r="AF49" i="7" s="1"/>
  <c r="AE37" i="7"/>
  <c r="AG37" i="7"/>
  <c r="AG47" i="7" s="1"/>
  <c r="AG49" i="7" s="1"/>
  <c r="H39" i="7"/>
  <c r="H45" i="7"/>
  <c r="AL14" i="5"/>
  <c r="AK14" i="5"/>
  <c r="AJ14" i="5"/>
  <c r="AE42" i="5"/>
  <c r="AG42" i="5"/>
  <c r="AF42" i="5"/>
  <c r="G37" i="5"/>
  <c r="AH30" i="5"/>
  <c r="AK8" i="5"/>
  <c r="AL8" i="5"/>
  <c r="AJ8" i="5"/>
  <c r="AL6" i="5"/>
  <c r="AJ6" i="5"/>
  <c r="AK6" i="5"/>
  <c r="AC29" i="1"/>
  <c r="AJ8" i="7" l="1"/>
  <c r="AK8" i="7"/>
  <c r="AJ24" i="13"/>
  <c r="AQ4" i="13"/>
  <c r="AP4" i="13"/>
  <c r="AO4" i="13"/>
  <c r="AR4" i="13" s="1"/>
  <c r="J4" i="13"/>
  <c r="AM39" i="13"/>
  <c r="AK18" i="13"/>
  <c r="G47" i="13"/>
  <c r="AH49" i="13"/>
  <c r="G49" i="13" s="1"/>
  <c r="AM6" i="7"/>
  <c r="H41" i="12"/>
  <c r="H40" i="12"/>
  <c r="AJ27" i="12"/>
  <c r="AR4" i="12"/>
  <c r="AL18" i="12"/>
  <c r="AK24" i="12"/>
  <c r="AK27" i="12" s="1"/>
  <c r="AL40" i="11"/>
  <c r="AJ40" i="11"/>
  <c r="AK40" i="11"/>
  <c r="AJ41" i="11"/>
  <c r="AK41" i="11"/>
  <c r="AL41" i="11"/>
  <c r="AK18" i="11"/>
  <c r="AJ24" i="11"/>
  <c r="AJ18" i="8"/>
  <c r="H45" i="8"/>
  <c r="H39" i="8"/>
  <c r="AH37" i="8"/>
  <c r="AE47" i="8"/>
  <c r="AM6" i="5"/>
  <c r="AJ17" i="7"/>
  <c r="AL45" i="7"/>
  <c r="AK45" i="7"/>
  <c r="AJ45" i="7"/>
  <c r="I4" i="7"/>
  <c r="AH37" i="7"/>
  <c r="AE47" i="7"/>
  <c r="AJ39" i="7"/>
  <c r="AL39" i="7"/>
  <c r="AK39" i="7"/>
  <c r="AG37" i="5"/>
  <c r="AG47" i="5" s="1"/>
  <c r="AG49" i="5" s="1"/>
  <c r="AF37" i="5"/>
  <c r="AF47" i="5" s="1"/>
  <c r="AF49" i="5" s="1"/>
  <c r="AE37" i="5"/>
  <c r="AJ17" i="5"/>
  <c r="AM8" i="5"/>
  <c r="G30" i="5"/>
  <c r="AM14" i="5"/>
  <c r="AH42" i="5"/>
  <c r="AC39" i="1"/>
  <c r="AM8" i="7" l="1"/>
  <c r="AK16" i="13"/>
  <c r="AK21" i="13"/>
  <c r="AL17" i="13"/>
  <c r="AM17" i="13" s="1"/>
  <c r="H17" i="13" s="1"/>
  <c r="H41" i="13"/>
  <c r="H40" i="13"/>
  <c r="AJ27" i="13"/>
  <c r="AJ30" i="13"/>
  <c r="AJ41" i="12"/>
  <c r="AK41" i="12"/>
  <c r="AL41" i="12"/>
  <c r="AK30" i="12"/>
  <c r="AL16" i="12"/>
  <c r="AM16" i="12" s="1"/>
  <c r="AL21" i="12"/>
  <c r="AM18" i="12"/>
  <c r="H18" i="12" s="1"/>
  <c r="AJ30" i="12"/>
  <c r="AL40" i="12"/>
  <c r="AJ40" i="12"/>
  <c r="AK40" i="12"/>
  <c r="AM41" i="11"/>
  <c r="AJ27" i="11"/>
  <c r="AJ30" i="11" s="1"/>
  <c r="AM40" i="11"/>
  <c r="AK21" i="11"/>
  <c r="AK16" i="11"/>
  <c r="AL17" i="11"/>
  <c r="AM17" i="11" s="1"/>
  <c r="H17" i="11" s="1"/>
  <c r="AM45" i="7"/>
  <c r="AL45" i="8"/>
  <c r="AK45" i="8"/>
  <c r="AJ45" i="8"/>
  <c r="I4" i="8"/>
  <c r="AJ16" i="8"/>
  <c r="AJ21" i="8"/>
  <c r="AK17" i="8"/>
  <c r="AK18" i="8" s="1"/>
  <c r="AH47" i="8"/>
  <c r="AE49" i="8"/>
  <c r="AL39" i="8"/>
  <c r="AK39" i="8"/>
  <c r="AJ39" i="8"/>
  <c r="AM39" i="8" s="1"/>
  <c r="AM39" i="7"/>
  <c r="AQ4" i="7"/>
  <c r="AP4" i="7"/>
  <c r="AO4" i="7"/>
  <c r="J4" i="7"/>
  <c r="AH47" i="7"/>
  <c r="AE49" i="7"/>
  <c r="AJ18" i="7"/>
  <c r="H39" i="5"/>
  <c r="H45" i="5"/>
  <c r="AJ18" i="5"/>
  <c r="AH37" i="5"/>
  <c r="AE47" i="5"/>
  <c r="Z43" i="1"/>
  <c r="AA43" i="1"/>
  <c r="AB43" i="1"/>
  <c r="AK40" i="13" l="1"/>
  <c r="AL40" i="13"/>
  <c r="AJ40" i="13"/>
  <c r="AK41" i="13"/>
  <c r="AJ41" i="13"/>
  <c r="AL41" i="13"/>
  <c r="AK24" i="13"/>
  <c r="AL18" i="13"/>
  <c r="H42" i="12"/>
  <c r="H16" i="12"/>
  <c r="I14" i="12"/>
  <c r="J14" i="12" s="1"/>
  <c r="I6" i="12"/>
  <c r="J6" i="12" s="1"/>
  <c r="AM40" i="12"/>
  <c r="AL24" i="12"/>
  <c r="AM21" i="12"/>
  <c r="AM41" i="12"/>
  <c r="AL18" i="11"/>
  <c r="AL21" i="11" s="1"/>
  <c r="AM21" i="11" s="1"/>
  <c r="AK24" i="11"/>
  <c r="AR4" i="7"/>
  <c r="AM45" i="8"/>
  <c r="AK21" i="8"/>
  <c r="AK16" i="8"/>
  <c r="AL17" i="8"/>
  <c r="AL18" i="8" s="1"/>
  <c r="AJ24" i="8"/>
  <c r="AQ4" i="8"/>
  <c r="AP4" i="8"/>
  <c r="AO4" i="8"/>
  <c r="J4" i="8"/>
  <c r="G47" i="8"/>
  <c r="AH49" i="8"/>
  <c r="G49" i="8" s="1"/>
  <c r="AJ16" i="7"/>
  <c r="AJ21" i="7"/>
  <c r="AK17" i="7"/>
  <c r="G47" i="7"/>
  <c r="AH49" i="7"/>
  <c r="G49" i="7" s="1"/>
  <c r="AK39" i="5"/>
  <c r="AJ39" i="5"/>
  <c r="AL39" i="5"/>
  <c r="AH47" i="5"/>
  <c r="AE49" i="5"/>
  <c r="AJ21" i="5"/>
  <c r="AJ16" i="5"/>
  <c r="AK17" i="5"/>
  <c r="AL45" i="5"/>
  <c r="AK45" i="5"/>
  <c r="AJ45" i="5"/>
  <c r="I4" i="5"/>
  <c r="AC43" i="1"/>
  <c r="AH29" i="1"/>
  <c r="AM40" i="13" l="1"/>
  <c r="AL16" i="11"/>
  <c r="AM16" i="11" s="1"/>
  <c r="AM18" i="11"/>
  <c r="H18" i="11" s="1"/>
  <c r="AM41" i="13"/>
  <c r="AL21" i="13"/>
  <c r="AM18" i="13"/>
  <c r="H18" i="13" s="1"/>
  <c r="AL16" i="13"/>
  <c r="AM16" i="13" s="1"/>
  <c r="AK27" i="13"/>
  <c r="H37" i="12"/>
  <c r="I8" i="12"/>
  <c r="J8" i="12" s="1"/>
  <c r="AL27" i="12"/>
  <c r="AM27" i="12" s="1"/>
  <c r="AM24" i="12"/>
  <c r="AQ6" i="12"/>
  <c r="AO6" i="12"/>
  <c r="AP6" i="12"/>
  <c r="AO14" i="12"/>
  <c r="AQ14" i="12"/>
  <c r="AP14" i="12"/>
  <c r="AL42" i="12"/>
  <c r="AK42" i="12"/>
  <c r="AJ42" i="12"/>
  <c r="H42" i="11"/>
  <c r="I14" i="11"/>
  <c r="J14" i="11" s="1"/>
  <c r="H16" i="11"/>
  <c r="I6" i="11"/>
  <c r="AK27" i="11"/>
  <c r="H37" i="11"/>
  <c r="AL24" i="11"/>
  <c r="AL27" i="11" s="1"/>
  <c r="AR4" i="8"/>
  <c r="AM18" i="8"/>
  <c r="H18" i="8" s="1"/>
  <c r="AL21" i="8"/>
  <c r="AL16" i="8"/>
  <c r="AM16" i="8" s="1"/>
  <c r="AJ27" i="8"/>
  <c r="H40" i="8"/>
  <c r="AK24" i="8"/>
  <c r="AK27" i="8" s="1"/>
  <c r="AM17" i="8"/>
  <c r="H17" i="8" s="1"/>
  <c r="AM45" i="5"/>
  <c r="H41" i="7"/>
  <c r="H40" i="7"/>
  <c r="AJ24" i="7"/>
  <c r="AK18" i="7"/>
  <c r="AO4" i="5"/>
  <c r="AQ4" i="5"/>
  <c r="AP4" i="5"/>
  <c r="J4" i="5"/>
  <c r="AK18" i="5"/>
  <c r="G47" i="5"/>
  <c r="AH49" i="5"/>
  <c r="G49" i="5" s="1"/>
  <c r="AJ24" i="5"/>
  <c r="AM39" i="5"/>
  <c r="AM29" i="1"/>
  <c r="J29" i="1" s="1"/>
  <c r="H42" i="13" l="1"/>
  <c r="H16" i="13"/>
  <c r="I14" i="13"/>
  <c r="I6" i="13"/>
  <c r="AL24" i="13"/>
  <c r="AM21" i="13"/>
  <c r="AK30" i="13"/>
  <c r="AL30" i="12"/>
  <c r="AM30" i="12" s="1"/>
  <c r="H30" i="12" s="1"/>
  <c r="AO8" i="12"/>
  <c r="AO17" i="12" s="1"/>
  <c r="AP8" i="12"/>
  <c r="AQ8" i="12"/>
  <c r="AM42" i="12"/>
  <c r="AR14" i="12"/>
  <c r="AK37" i="12"/>
  <c r="AL37" i="12"/>
  <c r="AJ37" i="12"/>
  <c r="AR6" i="12"/>
  <c r="AM27" i="11"/>
  <c r="AM24" i="11"/>
  <c r="AJ37" i="11"/>
  <c r="AL37" i="11"/>
  <c r="AK37" i="11"/>
  <c r="AP6" i="11"/>
  <c r="AO6" i="11"/>
  <c r="AQ6" i="11"/>
  <c r="J6" i="11"/>
  <c r="I8" i="11"/>
  <c r="AL30" i="11"/>
  <c r="AK30" i="11"/>
  <c r="AO14" i="11"/>
  <c r="AQ14" i="11"/>
  <c r="AP14" i="11"/>
  <c r="AL42" i="11"/>
  <c r="AK42" i="11"/>
  <c r="AJ42" i="11"/>
  <c r="AJ30" i="8"/>
  <c r="AL24" i="8"/>
  <c r="AM21" i="8"/>
  <c r="AK30" i="8"/>
  <c r="H42" i="8"/>
  <c r="H16" i="8"/>
  <c r="I14" i="8"/>
  <c r="J14" i="8" s="1"/>
  <c r="I6" i="8"/>
  <c r="AL41" i="8"/>
  <c r="AK41" i="8"/>
  <c r="AJ41" i="8"/>
  <c r="AK40" i="8"/>
  <c r="AL40" i="8"/>
  <c r="AJ40" i="8"/>
  <c r="AJ27" i="7"/>
  <c r="AJ30" i="7" s="1"/>
  <c r="AL40" i="7"/>
  <c r="AJ40" i="7"/>
  <c r="AK40" i="7"/>
  <c r="AK16" i="7"/>
  <c r="AK21" i="7"/>
  <c r="AL17" i="7"/>
  <c r="AM17" i="7" s="1"/>
  <c r="H17" i="7" s="1"/>
  <c r="AJ41" i="7"/>
  <c r="AK41" i="7"/>
  <c r="AL41" i="7"/>
  <c r="H40" i="5"/>
  <c r="H41" i="5"/>
  <c r="AK21" i="5"/>
  <c r="AK16" i="5"/>
  <c r="AL17" i="5"/>
  <c r="AM17" i="5" s="1"/>
  <c r="H17" i="5" s="1"/>
  <c r="AJ27" i="5"/>
  <c r="AJ30" i="5" s="1"/>
  <c r="AR4" i="5"/>
  <c r="AE43" i="1"/>
  <c r="AF43" i="1"/>
  <c r="AG43" i="1"/>
  <c r="BQ29" i="1"/>
  <c r="AL27" i="13" l="1"/>
  <c r="AM24" i="13"/>
  <c r="AQ6" i="13"/>
  <c r="AP6" i="13"/>
  <c r="AO6" i="13"/>
  <c r="J6" i="13"/>
  <c r="I8" i="13"/>
  <c r="AO14" i="13"/>
  <c r="AQ14" i="13"/>
  <c r="AP14" i="13"/>
  <c r="J14" i="13"/>
  <c r="H37" i="13"/>
  <c r="AL42" i="13"/>
  <c r="AJ42" i="13"/>
  <c r="AK42" i="13"/>
  <c r="AR8" i="12"/>
  <c r="I45" i="12"/>
  <c r="K4" i="12" s="1"/>
  <c r="H43" i="12"/>
  <c r="H34" i="12"/>
  <c r="I39" i="12"/>
  <c r="AO18" i="12"/>
  <c r="AM37" i="12"/>
  <c r="AM42" i="11"/>
  <c r="AR6" i="11"/>
  <c r="AR14" i="11"/>
  <c r="AM30" i="11"/>
  <c r="AQ8" i="11"/>
  <c r="AP8" i="11"/>
  <c r="AO8" i="11"/>
  <c r="J8" i="11"/>
  <c r="AM37" i="11"/>
  <c r="AL18" i="7"/>
  <c r="AL21" i="7" s="1"/>
  <c r="AM21" i="7" s="1"/>
  <c r="AM41" i="8"/>
  <c r="AL42" i="8"/>
  <c r="AK42" i="8"/>
  <c r="AJ42" i="8"/>
  <c r="H37" i="8"/>
  <c r="AL27" i="8"/>
  <c r="AM27" i="8" s="1"/>
  <c r="AM24" i="8"/>
  <c r="AQ6" i="8"/>
  <c r="AO6" i="8"/>
  <c r="AP6" i="8"/>
  <c r="J6" i="8"/>
  <c r="I8" i="8"/>
  <c r="AM40" i="8"/>
  <c r="AQ14" i="8"/>
  <c r="AP14" i="8"/>
  <c r="AO14" i="8"/>
  <c r="AM40" i="7"/>
  <c r="AM41" i="7"/>
  <c r="AK24" i="7"/>
  <c r="AK24" i="5"/>
  <c r="AL18" i="5"/>
  <c r="AL41" i="5"/>
  <c r="AJ41" i="5"/>
  <c r="AK41" i="5"/>
  <c r="AJ40" i="5"/>
  <c r="AL40" i="5"/>
  <c r="AK40" i="5"/>
  <c r="AH43" i="1"/>
  <c r="BV29" i="1"/>
  <c r="AR14" i="13" l="1"/>
  <c r="AR6" i="13"/>
  <c r="AP8" i="13"/>
  <c r="AO8" i="13"/>
  <c r="AQ8" i="13"/>
  <c r="J8" i="13"/>
  <c r="AL37" i="13"/>
  <c r="AK37" i="13"/>
  <c r="AJ37" i="13"/>
  <c r="AM42" i="13"/>
  <c r="AM27" i="13"/>
  <c r="AL30" i="13"/>
  <c r="H36" i="12"/>
  <c r="H35" i="12"/>
  <c r="H33" i="12"/>
  <c r="AO25" i="12"/>
  <c r="AO22" i="12"/>
  <c r="AO21" i="12"/>
  <c r="AO28" i="12"/>
  <c r="AO27" i="12"/>
  <c r="AO23" i="12"/>
  <c r="AO24" i="12"/>
  <c r="AO16" i="12"/>
  <c r="AO26" i="12"/>
  <c r="AP17" i="12"/>
  <c r="AP18" i="12" s="1"/>
  <c r="H30" i="11"/>
  <c r="AO17" i="11"/>
  <c r="AR8" i="11"/>
  <c r="AM18" i="7"/>
  <c r="H18" i="7" s="1"/>
  <c r="I6" i="7" s="1"/>
  <c r="I8" i="7" s="1"/>
  <c r="AL16" i="7"/>
  <c r="AM16" i="7" s="1"/>
  <c r="AM42" i="8"/>
  <c r="AR14" i="8"/>
  <c r="AP8" i="8"/>
  <c r="AQ8" i="8"/>
  <c r="AO8" i="8"/>
  <c r="J8" i="8"/>
  <c r="AJ37" i="8"/>
  <c r="AL37" i="8"/>
  <c r="AL47" i="8" s="1"/>
  <c r="AK37" i="8"/>
  <c r="AK47" i="8" s="1"/>
  <c r="AK49" i="8" s="1"/>
  <c r="AR6" i="8"/>
  <c r="AL30" i="8"/>
  <c r="AM41" i="5"/>
  <c r="AK27" i="7"/>
  <c r="H37" i="7"/>
  <c r="AL24" i="7"/>
  <c r="AL27" i="7" s="1"/>
  <c r="AM18" i="5"/>
  <c r="H18" i="5" s="1"/>
  <c r="AL21" i="5"/>
  <c r="AL16" i="5"/>
  <c r="AM16" i="5" s="1"/>
  <c r="AM40" i="5"/>
  <c r="AK27" i="5"/>
  <c r="CA29" i="1"/>
  <c r="AM37" i="13" l="1"/>
  <c r="AM30" i="13"/>
  <c r="AO17" i="13"/>
  <c r="AR8" i="13"/>
  <c r="AP28" i="12"/>
  <c r="AP26" i="12"/>
  <c r="AP24" i="12"/>
  <c r="AP22" i="12"/>
  <c r="AP21" i="12"/>
  <c r="AP25" i="12"/>
  <c r="AP27" i="12"/>
  <c r="AP23" i="12"/>
  <c r="AP16" i="12"/>
  <c r="AQ17" i="12"/>
  <c r="AR17" i="12" s="1"/>
  <c r="I17" i="12" s="1"/>
  <c r="AJ34" i="12"/>
  <c r="AL34" i="12"/>
  <c r="AK34" i="12"/>
  <c r="AO39" i="12"/>
  <c r="AQ39" i="12"/>
  <c r="AP39" i="12"/>
  <c r="AO45" i="12"/>
  <c r="AQ45" i="12"/>
  <c r="AP45" i="12"/>
  <c r="AO30" i="12"/>
  <c r="AK43" i="12"/>
  <c r="AJ43" i="12"/>
  <c r="AL43" i="12"/>
  <c r="I45" i="11"/>
  <c r="H34" i="11"/>
  <c r="H43" i="11"/>
  <c r="I39" i="11"/>
  <c r="AO18" i="11"/>
  <c r="H42" i="7"/>
  <c r="AL42" i="7" s="1"/>
  <c r="I14" i="7"/>
  <c r="H16" i="7"/>
  <c r="AM24" i="7"/>
  <c r="AM37" i="8"/>
  <c r="AJ47" i="8"/>
  <c r="AL49" i="8"/>
  <c r="AM30" i="8"/>
  <c r="AO17" i="8"/>
  <c r="AR8" i="8"/>
  <c r="AQ8" i="7"/>
  <c r="AP8" i="7"/>
  <c r="AO8" i="7"/>
  <c r="J8" i="7"/>
  <c r="AQ6" i="7"/>
  <c r="AP6" i="7"/>
  <c r="AO6" i="7"/>
  <c r="J6" i="7"/>
  <c r="AL30" i="7"/>
  <c r="AM27" i="7"/>
  <c r="AK30" i="7"/>
  <c r="AK37" i="7"/>
  <c r="AL37" i="7"/>
  <c r="AJ37" i="7"/>
  <c r="H42" i="5"/>
  <c r="H16" i="5"/>
  <c r="I14" i="5"/>
  <c r="J14" i="5" s="1"/>
  <c r="I6" i="5"/>
  <c r="I8" i="5" s="1"/>
  <c r="AK30" i="5"/>
  <c r="AL24" i="5"/>
  <c r="AM21" i="5"/>
  <c r="CF29" i="1"/>
  <c r="T29" i="1" s="1"/>
  <c r="AO18" i="13" l="1"/>
  <c r="H30" i="13"/>
  <c r="AO14" i="7"/>
  <c r="AO17" i="7" s="1"/>
  <c r="J14" i="7"/>
  <c r="AQ18" i="12"/>
  <c r="J18" i="12" s="1"/>
  <c r="AM43" i="12"/>
  <c r="AK33" i="12"/>
  <c r="AL33" i="12"/>
  <c r="AJ33" i="12"/>
  <c r="AK36" i="12"/>
  <c r="AJ36" i="12"/>
  <c r="AL36" i="12"/>
  <c r="AM34" i="12"/>
  <c r="AP30" i="12"/>
  <c r="AR39" i="12"/>
  <c r="J39" i="12" s="1"/>
  <c r="AU4" i="12"/>
  <c r="AT4" i="12"/>
  <c r="AV4" i="12"/>
  <c r="AL35" i="12"/>
  <c r="AJ35" i="12"/>
  <c r="AK35" i="12"/>
  <c r="AR45" i="12"/>
  <c r="J45" i="12" s="1"/>
  <c r="AO28" i="11"/>
  <c r="AO27" i="11"/>
  <c r="AO23" i="11"/>
  <c r="AO24" i="11"/>
  <c r="AO16" i="11"/>
  <c r="AO22" i="11"/>
  <c r="AO21" i="11"/>
  <c r="AO26" i="11"/>
  <c r="AO25" i="11"/>
  <c r="AP17" i="11"/>
  <c r="AO39" i="11"/>
  <c r="AQ39" i="11"/>
  <c r="AP39" i="11"/>
  <c r="AK43" i="11"/>
  <c r="AJ43" i="11"/>
  <c r="AL43" i="11"/>
  <c r="H35" i="11"/>
  <c r="AL34" i="11"/>
  <c r="AK34" i="11"/>
  <c r="H33" i="11"/>
  <c r="AJ34" i="11"/>
  <c r="H36" i="11"/>
  <c r="AO45" i="11"/>
  <c r="AP45" i="11"/>
  <c r="AQ45" i="11"/>
  <c r="K4" i="11"/>
  <c r="AJ42" i="7"/>
  <c r="AK42" i="7"/>
  <c r="AP14" i="7"/>
  <c r="AQ14" i="7"/>
  <c r="AM37" i="7"/>
  <c r="AO18" i="8"/>
  <c r="AM47" i="8"/>
  <c r="H47" i="8" s="1"/>
  <c r="AJ49" i="8"/>
  <c r="H30" i="8"/>
  <c r="AR6" i="7"/>
  <c r="AR8" i="7"/>
  <c r="AM30" i="7"/>
  <c r="AQ8" i="5"/>
  <c r="AP8" i="5"/>
  <c r="AO8" i="5"/>
  <c r="J8" i="5"/>
  <c r="AL42" i="5"/>
  <c r="AK42" i="5"/>
  <c r="AJ42" i="5"/>
  <c r="AL27" i="5"/>
  <c r="AM27" i="5" s="1"/>
  <c r="AM24" i="5"/>
  <c r="AP14" i="5"/>
  <c r="AO14" i="5"/>
  <c r="AQ14" i="5"/>
  <c r="AO6" i="5"/>
  <c r="AQ6" i="5"/>
  <c r="AP6" i="5"/>
  <c r="J6" i="5"/>
  <c r="H37" i="5"/>
  <c r="AM23" i="1"/>
  <c r="AM25" i="1"/>
  <c r="AM28" i="1"/>
  <c r="AM26" i="1"/>
  <c r="AM22" i="1"/>
  <c r="AR45" i="11" l="1"/>
  <c r="J45" i="11" s="1"/>
  <c r="AQ24" i="12"/>
  <c r="AR24" i="12" s="1"/>
  <c r="J24" i="12" s="1"/>
  <c r="AR18" i="12"/>
  <c r="I18" i="12" s="1"/>
  <c r="I42" i="12" s="1"/>
  <c r="AQ26" i="12"/>
  <c r="AR26" i="12" s="1"/>
  <c r="J26" i="12" s="1"/>
  <c r="I45" i="13"/>
  <c r="H43" i="13"/>
  <c r="I39" i="13"/>
  <c r="H34" i="13"/>
  <c r="AO26" i="13"/>
  <c r="AO28" i="13"/>
  <c r="AO24" i="13"/>
  <c r="AO22" i="13"/>
  <c r="AO21" i="13"/>
  <c r="AO23" i="13"/>
  <c r="AO27" i="13"/>
  <c r="AO25" i="13"/>
  <c r="AO16" i="13"/>
  <c r="AP17" i="13"/>
  <c r="AQ23" i="12"/>
  <c r="AR23" i="12" s="1"/>
  <c r="J23" i="12" s="1"/>
  <c r="AQ21" i="12"/>
  <c r="AR21" i="12" s="1"/>
  <c r="J21" i="12" s="1"/>
  <c r="AQ22" i="12"/>
  <c r="AR22" i="12" s="1"/>
  <c r="J22" i="12" s="1"/>
  <c r="AQ28" i="12"/>
  <c r="AR28" i="12" s="1"/>
  <c r="J28" i="12" s="1"/>
  <c r="AQ25" i="12"/>
  <c r="AR25" i="12" s="1"/>
  <c r="J25" i="12" s="1"/>
  <c r="AQ16" i="12"/>
  <c r="AR16" i="12" s="1"/>
  <c r="AQ27" i="12"/>
  <c r="AR27" i="12" s="1"/>
  <c r="J27" i="12" s="1"/>
  <c r="AR14" i="7"/>
  <c r="J17" i="12"/>
  <c r="O20" i="3"/>
  <c r="K14" i="12"/>
  <c r="K6" i="12"/>
  <c r="AW4" i="12"/>
  <c r="AM35" i="12"/>
  <c r="AM36" i="12"/>
  <c r="AJ47" i="12"/>
  <c r="AM33" i="12"/>
  <c r="AL47" i="12"/>
  <c r="AL49" i="12" s="1"/>
  <c r="AK47" i="12"/>
  <c r="AK49" i="12" s="1"/>
  <c r="AM34" i="11"/>
  <c r="AM43" i="11"/>
  <c r="AJ36" i="11"/>
  <c r="AL36" i="11"/>
  <c r="AK36" i="11"/>
  <c r="AO30" i="11"/>
  <c r="AK33" i="11"/>
  <c r="AJ33" i="11"/>
  <c r="AL33" i="11"/>
  <c r="AR39" i="11"/>
  <c r="J39" i="11" s="1"/>
  <c r="AV4" i="11"/>
  <c r="AT4" i="11"/>
  <c r="AU4" i="11"/>
  <c r="AJ35" i="11"/>
  <c r="AL35" i="11"/>
  <c r="AK35" i="11"/>
  <c r="AP18" i="11"/>
  <c r="AM42" i="7"/>
  <c r="AM49" i="8"/>
  <c r="H49" i="8" s="1"/>
  <c r="I40" i="8" s="1"/>
  <c r="AO27" i="8"/>
  <c r="AO21" i="8"/>
  <c r="AO22" i="8"/>
  <c r="AO26" i="8"/>
  <c r="AO25" i="8"/>
  <c r="AO16" i="8"/>
  <c r="AO28" i="8"/>
  <c r="AO24" i="8"/>
  <c r="AO23" i="8"/>
  <c r="AP17" i="8"/>
  <c r="I45" i="8"/>
  <c r="I39" i="8"/>
  <c r="AM42" i="5"/>
  <c r="AL30" i="5"/>
  <c r="AM30" i="5" s="1"/>
  <c r="H30" i="5" s="1"/>
  <c r="AR14" i="5"/>
  <c r="AO18" i="7"/>
  <c r="H30" i="7"/>
  <c r="AR6" i="5"/>
  <c r="AL37" i="5"/>
  <c r="AK37" i="5"/>
  <c r="AJ37" i="5"/>
  <c r="AO17" i="5"/>
  <c r="AR8" i="5"/>
  <c r="T44" i="1"/>
  <c r="CD44" i="1"/>
  <c r="CE44" i="1"/>
  <c r="CC44" i="1"/>
  <c r="AK15" i="1"/>
  <c r="AL15" i="1"/>
  <c r="AJ15" i="1"/>
  <c r="AM15" i="1" l="1"/>
  <c r="K7" i="12"/>
  <c r="AU7" i="12" s="1"/>
  <c r="I16" i="12"/>
  <c r="H36" i="13"/>
  <c r="AK34" i="13"/>
  <c r="H35" i="13"/>
  <c r="AJ34" i="13"/>
  <c r="AL34" i="13"/>
  <c r="H33" i="13"/>
  <c r="AO30" i="13"/>
  <c r="AQ39" i="13"/>
  <c r="AO39" i="13"/>
  <c r="AP39" i="13"/>
  <c r="AK43" i="13"/>
  <c r="AJ43" i="13"/>
  <c r="AL43" i="13"/>
  <c r="AP18" i="13"/>
  <c r="AP45" i="13"/>
  <c r="AQ45" i="13"/>
  <c r="AO45" i="13"/>
  <c r="K4" i="13"/>
  <c r="AQ30" i="12"/>
  <c r="AR30" i="12" s="1"/>
  <c r="I30" i="12" s="1"/>
  <c r="J30" i="12" s="1"/>
  <c r="I37" i="12"/>
  <c r="AT14" i="12"/>
  <c r="AV14" i="12"/>
  <c r="AU14" i="12"/>
  <c r="AM47" i="12"/>
  <c r="H47" i="12" s="1"/>
  <c r="AJ49" i="12"/>
  <c r="AV6" i="12"/>
  <c r="AU6" i="12"/>
  <c r="AT6" i="12"/>
  <c r="AP42" i="12"/>
  <c r="AQ42" i="12"/>
  <c r="AO42" i="12"/>
  <c r="AL47" i="11"/>
  <c r="AL49" i="11" s="1"/>
  <c r="AM33" i="11"/>
  <c r="AJ47" i="11"/>
  <c r="AM36" i="11"/>
  <c r="AM35" i="11"/>
  <c r="AW4" i="11"/>
  <c r="AK47" i="11"/>
  <c r="AK49" i="11" s="1"/>
  <c r="AP25" i="11"/>
  <c r="AP27" i="11"/>
  <c r="AP28" i="11"/>
  <c r="AP24" i="11"/>
  <c r="AP23" i="11"/>
  <c r="AP16" i="11"/>
  <c r="AP22" i="11"/>
  <c r="AP21" i="11"/>
  <c r="AP26" i="11"/>
  <c r="AQ17" i="11"/>
  <c r="AR17" i="11" s="1"/>
  <c r="I17" i="11" s="1"/>
  <c r="I41" i="8"/>
  <c r="AO41" i="8" s="1"/>
  <c r="AP18" i="8"/>
  <c r="AO30" i="8"/>
  <c r="AO45" i="8"/>
  <c r="AQ45" i="8"/>
  <c r="AP45" i="8"/>
  <c r="K4" i="8"/>
  <c r="AO40" i="8"/>
  <c r="AP40" i="8"/>
  <c r="AQ40" i="8"/>
  <c r="AP39" i="8"/>
  <c r="AQ39" i="8"/>
  <c r="AO39" i="8"/>
  <c r="AM37" i="5"/>
  <c r="AO27" i="7"/>
  <c r="AO26" i="7"/>
  <c r="AO25" i="7"/>
  <c r="AO21" i="7"/>
  <c r="AO28" i="7"/>
  <c r="AO24" i="7"/>
  <c r="AO23" i="7"/>
  <c r="AO22" i="7"/>
  <c r="AO16" i="7"/>
  <c r="AP17" i="7"/>
  <c r="I45" i="7"/>
  <c r="I39" i="7"/>
  <c r="H34" i="7"/>
  <c r="H43" i="7"/>
  <c r="AO18" i="5"/>
  <c r="I39" i="5"/>
  <c r="I45" i="5"/>
  <c r="CF44" i="1"/>
  <c r="AY15" i="1"/>
  <c r="AZ15" i="1"/>
  <c r="BA15" i="1"/>
  <c r="AP15" i="1"/>
  <c r="AO15" i="1"/>
  <c r="AQ15" i="1"/>
  <c r="AU15" i="1"/>
  <c r="AV15" i="1"/>
  <c r="AT15" i="1"/>
  <c r="K8" i="12" l="1"/>
  <c r="AT8" i="12" s="1"/>
  <c r="AV7" i="12"/>
  <c r="AT7" i="12"/>
  <c r="AM43" i="13"/>
  <c r="AR45" i="13"/>
  <c r="J45" i="13" s="1"/>
  <c r="AP27" i="13"/>
  <c r="AP25" i="13"/>
  <c r="AP28" i="13"/>
  <c r="AP24" i="13"/>
  <c r="AP26" i="13"/>
  <c r="AP22" i="13"/>
  <c r="AP21" i="13"/>
  <c r="AP16" i="13"/>
  <c r="AP23" i="13"/>
  <c r="AQ17" i="13"/>
  <c r="AR17" i="13" s="1"/>
  <c r="I17" i="13" s="1"/>
  <c r="AL33" i="13"/>
  <c r="AJ33" i="13"/>
  <c r="AK33" i="13"/>
  <c r="AV4" i="13"/>
  <c r="AU4" i="13"/>
  <c r="AT4" i="13"/>
  <c r="AM34" i="13"/>
  <c r="AL35" i="13"/>
  <c r="AK35" i="13"/>
  <c r="AJ35" i="13"/>
  <c r="AR39" i="13"/>
  <c r="J39" i="13" s="1"/>
  <c r="AL36" i="13"/>
  <c r="AK36" i="13"/>
  <c r="AJ36" i="13"/>
  <c r="I43" i="12"/>
  <c r="K39" i="12"/>
  <c r="I34" i="12"/>
  <c r="K45" i="12"/>
  <c r="L4" i="12" s="1"/>
  <c r="AW6" i="12"/>
  <c r="AR42" i="12"/>
  <c r="J42" i="12" s="1"/>
  <c r="AM49" i="12"/>
  <c r="H49" i="12" s="1"/>
  <c r="AP37" i="12"/>
  <c r="AO37" i="12"/>
  <c r="AQ37" i="12"/>
  <c r="AW14" i="12"/>
  <c r="AM47" i="11"/>
  <c r="AJ49" i="11"/>
  <c r="AQ18" i="11"/>
  <c r="AP30" i="11"/>
  <c r="AQ41" i="8"/>
  <c r="AP41" i="8"/>
  <c r="AR39" i="8"/>
  <c r="J39" i="8" s="1"/>
  <c r="AR45" i="8"/>
  <c r="J45" i="8" s="1"/>
  <c r="AR40" i="8"/>
  <c r="J40" i="8" s="1"/>
  <c r="AP27" i="8"/>
  <c r="AP25" i="8"/>
  <c r="AP23" i="8"/>
  <c r="AP22" i="8"/>
  <c r="AP26" i="8"/>
  <c r="AP16" i="8"/>
  <c r="AP28" i="8"/>
  <c r="AP24" i="8"/>
  <c r="AP21" i="8"/>
  <c r="AQ17" i="8"/>
  <c r="AR17" i="8" s="1"/>
  <c r="I17" i="8" s="1"/>
  <c r="AV4" i="8"/>
  <c r="AU4" i="8"/>
  <c r="AT4" i="8"/>
  <c r="AO39" i="7"/>
  <c r="AQ39" i="7"/>
  <c r="AP39" i="7"/>
  <c r="AO30" i="7"/>
  <c r="AO45" i="7"/>
  <c r="AQ45" i="7"/>
  <c r="AP45" i="7"/>
  <c r="K4" i="7"/>
  <c r="AK43" i="7"/>
  <c r="AJ43" i="7"/>
  <c r="AL43" i="7"/>
  <c r="AP18" i="7"/>
  <c r="H35" i="7"/>
  <c r="AL34" i="7"/>
  <c r="H33" i="7"/>
  <c r="AJ34" i="7"/>
  <c r="AK34" i="7"/>
  <c r="H36" i="7"/>
  <c r="H36" i="5"/>
  <c r="AL34" i="5"/>
  <c r="AK34" i="5"/>
  <c r="H35" i="5"/>
  <c r="AJ34" i="5"/>
  <c r="H33" i="5"/>
  <c r="AP39" i="5"/>
  <c r="AQ39" i="5"/>
  <c r="AO39" i="5"/>
  <c r="AL43" i="5"/>
  <c r="AK43" i="5"/>
  <c r="AJ43" i="5"/>
  <c r="AO23" i="5"/>
  <c r="AO28" i="5"/>
  <c r="AO24" i="5"/>
  <c r="AO22" i="5"/>
  <c r="AO27" i="5"/>
  <c r="AO25" i="5"/>
  <c r="AO16" i="5"/>
  <c r="AO26" i="5"/>
  <c r="AO21" i="5"/>
  <c r="AP17" i="5"/>
  <c r="AP18" i="5" s="1"/>
  <c r="AQ45" i="5"/>
  <c r="AP45" i="5"/>
  <c r="AO45" i="5"/>
  <c r="K4" i="5"/>
  <c r="BB15" i="1"/>
  <c r="AR15" i="1"/>
  <c r="AW15" i="1"/>
  <c r="BF15" i="1"/>
  <c r="BE15" i="1"/>
  <c r="BD15" i="1"/>
  <c r="AW7" i="12" l="1"/>
  <c r="AU8" i="12"/>
  <c r="AV8" i="12"/>
  <c r="AW8" i="12" s="1"/>
  <c r="BG15" i="1"/>
  <c r="AQ18" i="13"/>
  <c r="AQ26" i="13" s="1"/>
  <c r="AR26" i="13" s="1"/>
  <c r="J26" i="13" s="1"/>
  <c r="AM36" i="13"/>
  <c r="AW4" i="13"/>
  <c r="AK47" i="13"/>
  <c r="AK49" i="13" s="1"/>
  <c r="AP30" i="13"/>
  <c r="AJ47" i="13"/>
  <c r="AM33" i="13"/>
  <c r="AL47" i="13"/>
  <c r="AL49" i="13" s="1"/>
  <c r="AM35" i="13"/>
  <c r="I36" i="12"/>
  <c r="I35" i="12"/>
  <c r="I33" i="12"/>
  <c r="I41" i="12"/>
  <c r="I40" i="12"/>
  <c r="AR37" i="12"/>
  <c r="J37" i="12" s="1"/>
  <c r="AT17" i="12"/>
  <c r="H47" i="11"/>
  <c r="AM49" i="11"/>
  <c r="H49" i="11" s="1"/>
  <c r="AQ27" i="11"/>
  <c r="AR27" i="11" s="1"/>
  <c r="J27" i="11" s="1"/>
  <c r="AQ25" i="11"/>
  <c r="AR25" i="11" s="1"/>
  <c r="J25" i="11" s="1"/>
  <c r="AQ26" i="11"/>
  <c r="AR26" i="11" s="1"/>
  <c r="J26" i="11" s="1"/>
  <c r="AQ24" i="11"/>
  <c r="AR24" i="11" s="1"/>
  <c r="J24" i="11" s="1"/>
  <c r="J18" i="11"/>
  <c r="AQ16" i="11"/>
  <c r="AR16" i="11" s="1"/>
  <c r="AR18" i="11"/>
  <c r="I18" i="11" s="1"/>
  <c r="AQ28" i="11"/>
  <c r="AR28" i="11" s="1"/>
  <c r="J28" i="11" s="1"/>
  <c r="AQ23" i="11"/>
  <c r="AR23" i="11" s="1"/>
  <c r="J23" i="11" s="1"/>
  <c r="AQ22" i="11"/>
  <c r="AR22" i="11" s="1"/>
  <c r="J22" i="11" s="1"/>
  <c r="AQ21" i="11"/>
  <c r="AM43" i="7"/>
  <c r="AM34" i="7"/>
  <c r="AR41" i="8"/>
  <c r="J41" i="8" s="1"/>
  <c r="AW4" i="8"/>
  <c r="AP30" i="8"/>
  <c r="AQ18" i="8"/>
  <c r="AM43" i="5"/>
  <c r="AM34" i="5"/>
  <c r="AR39" i="5"/>
  <c r="J39" i="5" s="1"/>
  <c r="AJ35" i="7"/>
  <c r="AL35" i="7"/>
  <c r="AK35" i="7"/>
  <c r="AP27" i="7"/>
  <c r="AP26" i="7"/>
  <c r="AP22" i="7"/>
  <c r="AP21" i="7"/>
  <c r="AP24" i="7"/>
  <c r="AP16" i="7"/>
  <c r="AP28" i="7"/>
  <c r="AP23" i="7"/>
  <c r="AP25" i="7"/>
  <c r="AQ17" i="7"/>
  <c r="AR17" i="7" s="1"/>
  <c r="I17" i="7" s="1"/>
  <c r="AV4" i="7"/>
  <c r="AU4" i="7"/>
  <c r="AT4" i="7"/>
  <c r="AR39" i="7"/>
  <c r="J39" i="7" s="1"/>
  <c r="AL33" i="7"/>
  <c r="AK33" i="7"/>
  <c r="AJ33" i="7"/>
  <c r="AK36" i="7"/>
  <c r="AL36" i="7"/>
  <c r="AJ36" i="7"/>
  <c r="AR45" i="7"/>
  <c r="J45" i="7" s="1"/>
  <c r="AL36" i="5"/>
  <c r="AK36" i="5"/>
  <c r="AJ36" i="5"/>
  <c r="AO30" i="5"/>
  <c r="AL33" i="5"/>
  <c r="AK33" i="5"/>
  <c r="AJ33" i="5"/>
  <c r="AP28" i="5"/>
  <c r="AP24" i="5"/>
  <c r="AP27" i="5"/>
  <c r="AP25" i="5"/>
  <c r="AP26" i="5"/>
  <c r="AP22" i="5"/>
  <c r="AP23" i="5"/>
  <c r="AP16" i="5"/>
  <c r="AP21" i="5"/>
  <c r="AQ17" i="5"/>
  <c r="AR17" i="5" s="1"/>
  <c r="I17" i="5" s="1"/>
  <c r="AL35" i="5"/>
  <c r="AK35" i="5"/>
  <c r="AJ35" i="5"/>
  <c r="AV4" i="5"/>
  <c r="AU4" i="5"/>
  <c r="AT4" i="5"/>
  <c r="AR45" i="5"/>
  <c r="J45" i="5" s="1"/>
  <c r="BK15" i="1"/>
  <c r="BJ15" i="1"/>
  <c r="BI15" i="1"/>
  <c r="J17" i="11" l="1"/>
  <c r="S20" i="3"/>
  <c r="AQ27" i="13"/>
  <c r="AR27" i="13" s="1"/>
  <c r="J27" i="13" s="1"/>
  <c r="AQ24" i="13"/>
  <c r="AR24" i="13" s="1"/>
  <c r="J24" i="13" s="1"/>
  <c r="AQ21" i="13"/>
  <c r="AR21" i="13" s="1"/>
  <c r="AQ16" i="13"/>
  <c r="AR16" i="13" s="1"/>
  <c r="AQ28" i="13"/>
  <c r="AR28" i="13" s="1"/>
  <c r="J28" i="13" s="1"/>
  <c r="AQ25" i="13"/>
  <c r="AR25" i="13" s="1"/>
  <c r="J25" i="13" s="1"/>
  <c r="J18" i="13"/>
  <c r="AQ23" i="13"/>
  <c r="AR23" i="13" s="1"/>
  <c r="J23" i="13" s="1"/>
  <c r="AQ22" i="13"/>
  <c r="AR22" i="13" s="1"/>
  <c r="J22" i="13" s="1"/>
  <c r="AR18" i="13"/>
  <c r="I18" i="13" s="1"/>
  <c r="K7" i="13" s="1"/>
  <c r="AM47" i="13"/>
  <c r="AJ49" i="13"/>
  <c r="AO34" i="12"/>
  <c r="AQ34" i="12"/>
  <c r="AP34" i="12"/>
  <c r="AO43" i="12"/>
  <c r="AP43" i="12"/>
  <c r="AQ43" i="12"/>
  <c r="AQ40" i="12"/>
  <c r="AO40" i="12"/>
  <c r="AP40" i="12"/>
  <c r="AV45" i="12"/>
  <c r="AU45" i="12"/>
  <c r="AT45" i="12"/>
  <c r="AP41" i="12"/>
  <c r="AO41" i="12"/>
  <c r="AQ41" i="12"/>
  <c r="AT39" i="12"/>
  <c r="AV39" i="12"/>
  <c r="AU39" i="12"/>
  <c r="AT18" i="12"/>
  <c r="AQ30" i="11"/>
  <c r="AR21" i="11"/>
  <c r="I41" i="11"/>
  <c r="I40" i="11"/>
  <c r="I42" i="11"/>
  <c r="I16" i="11"/>
  <c r="K14" i="11"/>
  <c r="K7" i="11"/>
  <c r="K6" i="11"/>
  <c r="AM36" i="7"/>
  <c r="AL47" i="7"/>
  <c r="AL49" i="7" s="1"/>
  <c r="AQ18" i="7"/>
  <c r="AQ27" i="7" s="1"/>
  <c r="AR27" i="7" s="1"/>
  <c r="J27" i="7" s="1"/>
  <c r="AW4" i="7"/>
  <c r="AQ28" i="8"/>
  <c r="AR28" i="8" s="1"/>
  <c r="J28" i="8" s="1"/>
  <c r="AQ26" i="8"/>
  <c r="AR26" i="8" s="1"/>
  <c r="J26" i="8" s="1"/>
  <c r="AQ22" i="8"/>
  <c r="AR22" i="8" s="1"/>
  <c r="J22" i="8" s="1"/>
  <c r="J18" i="8"/>
  <c r="AQ25" i="8"/>
  <c r="AR25" i="8" s="1"/>
  <c r="J25" i="8" s="1"/>
  <c r="AQ24" i="8"/>
  <c r="AR24" i="8" s="1"/>
  <c r="J24" i="8" s="1"/>
  <c r="AR18" i="8"/>
  <c r="I18" i="8" s="1"/>
  <c r="AQ27" i="8"/>
  <c r="AR27" i="8" s="1"/>
  <c r="J27" i="8" s="1"/>
  <c r="AQ23" i="8"/>
  <c r="AR23" i="8" s="1"/>
  <c r="J23" i="8" s="1"/>
  <c r="AQ21" i="8"/>
  <c r="AQ16" i="8"/>
  <c r="AR16" i="8" s="1"/>
  <c r="AM36" i="5"/>
  <c r="AQ18" i="5"/>
  <c r="J18" i="5" s="1"/>
  <c r="AK47" i="5"/>
  <c r="AK49" i="5" s="1"/>
  <c r="AM35" i="5"/>
  <c r="AM35" i="7"/>
  <c r="AP30" i="7"/>
  <c r="AJ47" i="7"/>
  <c r="AM33" i="7"/>
  <c r="AK47" i="7"/>
  <c r="AK49" i="7" s="1"/>
  <c r="AW4" i="5"/>
  <c r="AP30" i="5"/>
  <c r="AQ23" i="5"/>
  <c r="AR23" i="5" s="1"/>
  <c r="J23" i="5" s="1"/>
  <c r="AJ47" i="5"/>
  <c r="AM33" i="5"/>
  <c r="AL47" i="5"/>
  <c r="AL49" i="5" s="1"/>
  <c r="BL15" i="1"/>
  <c r="BP15" i="1"/>
  <c r="BO15" i="1"/>
  <c r="BN15" i="1"/>
  <c r="J17" i="8" l="1"/>
  <c r="Y20" i="3"/>
  <c r="J17" i="5"/>
  <c r="W20" i="3"/>
  <c r="J17" i="13"/>
  <c r="AA20" i="3"/>
  <c r="I16" i="13"/>
  <c r="K14" i="13"/>
  <c r="AV14" i="13" s="1"/>
  <c r="K6" i="13"/>
  <c r="AT6" i="13" s="1"/>
  <c r="I42" i="13"/>
  <c r="AQ42" i="13" s="1"/>
  <c r="AQ30" i="13"/>
  <c r="AR30" i="13" s="1"/>
  <c r="I30" i="13" s="1"/>
  <c r="AT7" i="13"/>
  <c r="AV7" i="13"/>
  <c r="AU7" i="13"/>
  <c r="I37" i="13"/>
  <c r="J21" i="13"/>
  <c r="H47" i="13"/>
  <c r="AM49" i="13"/>
  <c r="H49" i="13" s="1"/>
  <c r="AQ25" i="7"/>
  <c r="AR25" i="7" s="1"/>
  <c r="J25" i="7" s="1"/>
  <c r="AR40" i="12"/>
  <c r="J40" i="12" s="1"/>
  <c r="AW45" i="12"/>
  <c r="AR43" i="12"/>
  <c r="J43" i="12" s="1"/>
  <c r="AT27" i="12"/>
  <c r="AT26" i="12"/>
  <c r="AT23" i="12"/>
  <c r="AT28" i="12"/>
  <c r="AT25" i="12"/>
  <c r="AT24" i="12"/>
  <c r="AT22" i="12"/>
  <c r="AT21" i="12"/>
  <c r="AT16" i="12"/>
  <c r="AU17" i="12"/>
  <c r="BA4" i="12"/>
  <c r="AY4" i="12"/>
  <c r="AZ4" i="12"/>
  <c r="AQ35" i="12"/>
  <c r="AP35" i="12"/>
  <c r="AO35" i="12"/>
  <c r="AP33" i="12"/>
  <c r="AQ33" i="12"/>
  <c r="AO33" i="12"/>
  <c r="AW39" i="12"/>
  <c r="AQ36" i="12"/>
  <c r="AO36" i="12"/>
  <c r="AP36" i="12"/>
  <c r="AR41" i="12"/>
  <c r="J41" i="12" s="1"/>
  <c r="AR34" i="12"/>
  <c r="J34" i="12" s="1"/>
  <c r="AU14" i="11"/>
  <c r="AV14" i="11"/>
  <c r="AT14" i="11"/>
  <c r="AP42" i="11"/>
  <c r="AQ42" i="11"/>
  <c r="AO42" i="11"/>
  <c r="AQ40" i="11"/>
  <c r="AP40" i="11"/>
  <c r="AO40" i="11"/>
  <c r="AV6" i="11"/>
  <c r="AU6" i="11"/>
  <c r="AT6" i="11"/>
  <c r="AP41" i="11"/>
  <c r="AO41" i="11"/>
  <c r="AQ41" i="11"/>
  <c r="AU7" i="11"/>
  <c r="AV7" i="11"/>
  <c r="AT7" i="11"/>
  <c r="I37" i="11"/>
  <c r="J21" i="11"/>
  <c r="K8" i="11"/>
  <c r="AR30" i="11"/>
  <c r="AQ22" i="7"/>
  <c r="AR22" i="7" s="1"/>
  <c r="J22" i="7" s="1"/>
  <c r="AR18" i="7"/>
  <c r="I18" i="7" s="1"/>
  <c r="K14" i="7" s="1"/>
  <c r="AQ23" i="7"/>
  <c r="AR23" i="7" s="1"/>
  <c r="J23" i="7" s="1"/>
  <c r="J18" i="7"/>
  <c r="AQ21" i="7"/>
  <c r="AR21" i="7" s="1"/>
  <c r="J21" i="7" s="1"/>
  <c r="AQ24" i="7"/>
  <c r="AR24" i="7" s="1"/>
  <c r="J24" i="7" s="1"/>
  <c r="AQ16" i="7"/>
  <c r="AR16" i="7" s="1"/>
  <c r="AQ28" i="7"/>
  <c r="AR28" i="7" s="1"/>
  <c r="J28" i="7" s="1"/>
  <c r="AQ26" i="7"/>
  <c r="AR26" i="7" s="1"/>
  <c r="J26" i="7" s="1"/>
  <c r="I42" i="8"/>
  <c r="K14" i="8"/>
  <c r="I16" i="8"/>
  <c r="K7" i="8"/>
  <c r="K6" i="8"/>
  <c r="AQ30" i="8"/>
  <c r="AR21" i="8"/>
  <c r="AQ25" i="5"/>
  <c r="AR25" i="5" s="1"/>
  <c r="J25" i="5" s="1"/>
  <c r="AQ27" i="5"/>
  <c r="AR27" i="5" s="1"/>
  <c r="J27" i="5" s="1"/>
  <c r="AQ22" i="5"/>
  <c r="AR22" i="5" s="1"/>
  <c r="J22" i="5" s="1"/>
  <c r="AQ21" i="5"/>
  <c r="AR21" i="5" s="1"/>
  <c r="AQ24" i="5"/>
  <c r="AR24" i="5" s="1"/>
  <c r="J24" i="5" s="1"/>
  <c r="AQ28" i="5"/>
  <c r="AR28" i="5" s="1"/>
  <c r="J28" i="5" s="1"/>
  <c r="AQ26" i="5"/>
  <c r="AR26" i="5" s="1"/>
  <c r="J26" i="5" s="1"/>
  <c r="AQ16" i="5"/>
  <c r="AR16" i="5" s="1"/>
  <c r="AR18" i="5"/>
  <c r="I18" i="5" s="1"/>
  <c r="K6" i="5" s="1"/>
  <c r="AM47" i="7"/>
  <c r="AJ49" i="7"/>
  <c r="AM47" i="5"/>
  <c r="AJ49" i="5"/>
  <c r="BQ15" i="1"/>
  <c r="BT15" i="1"/>
  <c r="BU15" i="1"/>
  <c r="BS15" i="1"/>
  <c r="AW6" i="11" l="1"/>
  <c r="AW14" i="11"/>
  <c r="AR42" i="11"/>
  <c r="J42" i="11" s="1"/>
  <c r="K8" i="13"/>
  <c r="AV8" i="13" s="1"/>
  <c r="AV6" i="13"/>
  <c r="AU6" i="13"/>
  <c r="AP42" i="13"/>
  <c r="AO42" i="13"/>
  <c r="AU14" i="13"/>
  <c r="AT14" i="13"/>
  <c r="AW7" i="13"/>
  <c r="I40" i="13"/>
  <c r="I41" i="13"/>
  <c r="K45" i="13"/>
  <c r="I34" i="13"/>
  <c r="I43" i="13"/>
  <c r="K39" i="13"/>
  <c r="J30" i="13"/>
  <c r="AP37" i="13"/>
  <c r="AQ37" i="13"/>
  <c r="AO37" i="13"/>
  <c r="J17" i="7"/>
  <c r="U20" i="3"/>
  <c r="AQ47" i="12"/>
  <c r="AQ49" i="12" s="1"/>
  <c r="AT30" i="12"/>
  <c r="AO47" i="12"/>
  <c r="AR33" i="12"/>
  <c r="J33" i="12" s="1"/>
  <c r="BB4" i="12"/>
  <c r="AP47" i="12"/>
  <c r="AP49" i="12" s="1"/>
  <c r="AR35" i="12"/>
  <c r="J35" i="12" s="1"/>
  <c r="AR36" i="12"/>
  <c r="J36" i="12" s="1"/>
  <c r="AU18" i="12"/>
  <c r="AW7" i="11"/>
  <c r="AV8" i="11"/>
  <c r="AT8" i="11"/>
  <c r="AU8" i="11"/>
  <c r="AR41" i="11"/>
  <c r="J41" i="11" s="1"/>
  <c r="AQ37" i="11"/>
  <c r="AP37" i="11"/>
  <c r="AO37" i="11"/>
  <c r="I30" i="11"/>
  <c r="AR40" i="11"/>
  <c r="J40" i="11" s="1"/>
  <c r="K7" i="7"/>
  <c r="AU7" i="7" s="1"/>
  <c r="K6" i="7"/>
  <c r="I16" i="7"/>
  <c r="I42" i="7"/>
  <c r="AQ42" i="7" s="1"/>
  <c r="I37" i="7"/>
  <c r="AQ37" i="7" s="1"/>
  <c r="AQ30" i="7"/>
  <c r="AR30" i="7" s="1"/>
  <c r="K8" i="8"/>
  <c r="AU8" i="8" s="1"/>
  <c r="AR30" i="8"/>
  <c r="AV6" i="8"/>
  <c r="AU6" i="8"/>
  <c r="AT6" i="8"/>
  <c r="AT7" i="8"/>
  <c r="AV7" i="8"/>
  <c r="AU7" i="8"/>
  <c r="I37" i="8"/>
  <c r="J21" i="8"/>
  <c r="AV14" i="8"/>
  <c r="AU14" i="8"/>
  <c r="AT14" i="8"/>
  <c r="AO42" i="8"/>
  <c r="AQ42" i="8"/>
  <c r="AP42" i="8"/>
  <c r="K14" i="5"/>
  <c r="AV14" i="5" s="1"/>
  <c r="I42" i="5"/>
  <c r="AQ42" i="5" s="1"/>
  <c r="I16" i="5"/>
  <c r="AQ30" i="5"/>
  <c r="AR30" i="5" s="1"/>
  <c r="I30" i="5" s="1"/>
  <c r="K7" i="5"/>
  <c r="K8" i="5" s="1"/>
  <c r="H47" i="7"/>
  <c r="AM49" i="7"/>
  <c r="H49" i="7" s="1"/>
  <c r="AU14" i="7"/>
  <c r="AV14" i="7"/>
  <c r="AT14" i="7"/>
  <c r="AT6" i="5"/>
  <c r="AV6" i="5"/>
  <c r="AU6" i="5"/>
  <c r="H47" i="5"/>
  <c r="AM49" i="5"/>
  <c r="H49" i="5" s="1"/>
  <c r="I37" i="5"/>
  <c r="J21" i="5"/>
  <c r="BV15" i="1"/>
  <c r="BZ15" i="1"/>
  <c r="BY15" i="1"/>
  <c r="BX15" i="1"/>
  <c r="AW6" i="13" l="1"/>
  <c r="AW14" i="13"/>
  <c r="AT8" i="13"/>
  <c r="AT17" i="13" s="1"/>
  <c r="AU8" i="13"/>
  <c r="AR42" i="13"/>
  <c r="J42" i="13" s="1"/>
  <c r="AR37" i="13"/>
  <c r="J37" i="13" s="1"/>
  <c r="AV39" i="13"/>
  <c r="AT39" i="13"/>
  <c r="AU39" i="13"/>
  <c r="AP43" i="13"/>
  <c r="AQ43" i="13"/>
  <c r="AO43" i="13"/>
  <c r="AO34" i="13"/>
  <c r="AQ34" i="13"/>
  <c r="I36" i="13"/>
  <c r="I33" i="13"/>
  <c r="I35" i="13"/>
  <c r="AP34" i="13"/>
  <c r="AU45" i="13"/>
  <c r="AT45" i="13"/>
  <c r="AV45" i="13"/>
  <c r="L4" i="13"/>
  <c r="AP41" i="13"/>
  <c r="AQ41" i="13"/>
  <c r="AO41" i="13"/>
  <c r="AP40" i="13"/>
  <c r="AQ40" i="13"/>
  <c r="AO40" i="13"/>
  <c r="AR47" i="12"/>
  <c r="I47" i="12" s="1"/>
  <c r="J47" i="12" s="1"/>
  <c r="AO49" i="12"/>
  <c r="AU28" i="12"/>
  <c r="AU26" i="12"/>
  <c r="AU22" i="12"/>
  <c r="AU21" i="12"/>
  <c r="AU25" i="12"/>
  <c r="AU24" i="12"/>
  <c r="AU16" i="12"/>
  <c r="AU27" i="12"/>
  <c r="AU23" i="12"/>
  <c r="AV17" i="12"/>
  <c r="AW17" i="12" s="1"/>
  <c r="K17" i="12" s="1"/>
  <c r="AR37" i="11"/>
  <c r="J37" i="11" s="1"/>
  <c r="AT17" i="11"/>
  <c r="AW8" i="11"/>
  <c r="K39" i="11"/>
  <c r="I43" i="11"/>
  <c r="K45" i="11"/>
  <c r="I34" i="11"/>
  <c r="J30" i="11"/>
  <c r="AT7" i="7"/>
  <c r="AV7" i="7"/>
  <c r="K8" i="7"/>
  <c r="AV8" i="7" s="1"/>
  <c r="AP42" i="7"/>
  <c r="AT6" i="7"/>
  <c r="AU6" i="7"/>
  <c r="AV6" i="7"/>
  <c r="AO37" i="7"/>
  <c r="AO42" i="7"/>
  <c r="AP37" i="7"/>
  <c r="AW14" i="8"/>
  <c r="AT8" i="8"/>
  <c r="AT17" i="8" s="1"/>
  <c r="AV8" i="8"/>
  <c r="AO37" i="8"/>
  <c r="AQ37" i="8"/>
  <c r="AP37" i="8"/>
  <c r="AR42" i="8"/>
  <c r="J42" i="8" s="1"/>
  <c r="AW7" i="8"/>
  <c r="AW6" i="8"/>
  <c r="I30" i="8"/>
  <c r="AO42" i="5"/>
  <c r="AP42" i="5"/>
  <c r="AV7" i="5"/>
  <c r="AU7" i="5"/>
  <c r="AT7" i="5"/>
  <c r="AT14" i="5"/>
  <c r="AU14" i="5"/>
  <c r="I30" i="7"/>
  <c r="I41" i="7"/>
  <c r="I40" i="7"/>
  <c r="AW14" i="7"/>
  <c r="AQ37" i="5"/>
  <c r="AP37" i="5"/>
  <c r="AO37" i="5"/>
  <c r="I40" i="5"/>
  <c r="I41" i="5"/>
  <c r="AU8" i="5"/>
  <c r="AV8" i="5"/>
  <c r="AT8" i="5"/>
  <c r="AW6" i="5"/>
  <c r="I43" i="5"/>
  <c r="K39" i="5"/>
  <c r="K45" i="5"/>
  <c r="I34" i="5"/>
  <c r="J30" i="5"/>
  <c r="CA15" i="1"/>
  <c r="CC15" i="1"/>
  <c r="CD15" i="1"/>
  <c r="CE15" i="1"/>
  <c r="AW8" i="13" l="1"/>
  <c r="AR41" i="13"/>
  <c r="J41" i="13" s="1"/>
  <c r="AP35" i="13"/>
  <c r="AO35" i="13"/>
  <c r="AQ35" i="13"/>
  <c r="AP33" i="13"/>
  <c r="AO33" i="13"/>
  <c r="AQ33" i="13"/>
  <c r="AO36" i="13"/>
  <c r="AQ36" i="13"/>
  <c r="AP36" i="13"/>
  <c r="AW39" i="13"/>
  <c r="BA4" i="13"/>
  <c r="AZ4" i="13"/>
  <c r="AY4" i="13"/>
  <c r="AR40" i="13"/>
  <c r="J40" i="13" s="1"/>
  <c r="AR34" i="13"/>
  <c r="J34" i="13" s="1"/>
  <c r="AW45" i="13"/>
  <c r="AR43" i="13"/>
  <c r="J43" i="13" s="1"/>
  <c r="AT18" i="13"/>
  <c r="AU30" i="12"/>
  <c r="AV18" i="12"/>
  <c r="AR49" i="12"/>
  <c r="I49" i="12" s="1"/>
  <c r="J49" i="12" s="1"/>
  <c r="I36" i="11"/>
  <c r="AP34" i="11"/>
  <c r="AO34" i="11"/>
  <c r="I33" i="11"/>
  <c r="I35" i="11"/>
  <c r="AQ34" i="11"/>
  <c r="AO43" i="11"/>
  <c r="AP43" i="11"/>
  <c r="AQ43" i="11"/>
  <c r="AT39" i="11"/>
  <c r="AU39" i="11"/>
  <c r="AV39" i="11"/>
  <c r="AT18" i="11"/>
  <c r="AU45" i="11"/>
  <c r="AT45" i="11"/>
  <c r="AV45" i="11"/>
  <c r="L4" i="11"/>
  <c r="AU8" i="7"/>
  <c r="AT8" i="7"/>
  <c r="AT17" i="7" s="1"/>
  <c r="AR42" i="7"/>
  <c r="J42" i="7" s="1"/>
  <c r="AW7" i="7"/>
  <c r="AR37" i="7"/>
  <c r="J37" i="7" s="1"/>
  <c r="AW6" i="7"/>
  <c r="AW8" i="8"/>
  <c r="K45" i="8"/>
  <c r="I43" i="8"/>
  <c r="K39" i="8"/>
  <c r="J30" i="8"/>
  <c r="AT18" i="8"/>
  <c r="AR37" i="8"/>
  <c r="J37" i="8" s="1"/>
  <c r="AR42" i="5"/>
  <c r="J42" i="5" s="1"/>
  <c r="AW14" i="5"/>
  <c r="AW7" i="5"/>
  <c r="AR37" i="5"/>
  <c r="J37" i="5" s="1"/>
  <c r="AP41" i="7"/>
  <c r="AO41" i="7"/>
  <c r="AQ41" i="7"/>
  <c r="K39" i="7"/>
  <c r="K45" i="7"/>
  <c r="I43" i="7"/>
  <c r="I34" i="7"/>
  <c r="J30" i="7"/>
  <c r="AQ40" i="7"/>
  <c r="AO40" i="7"/>
  <c r="AP40" i="7"/>
  <c r="AU39" i="5"/>
  <c r="AT39" i="5"/>
  <c r="AV39" i="5"/>
  <c r="AQ41" i="5"/>
  <c r="AP41" i="5"/>
  <c r="AO41" i="5"/>
  <c r="AO40" i="5"/>
  <c r="AQ40" i="5"/>
  <c r="AP40" i="5"/>
  <c r="AO34" i="5"/>
  <c r="I35" i="5"/>
  <c r="I36" i="5"/>
  <c r="AQ34" i="5"/>
  <c r="AP34" i="5"/>
  <c r="I33" i="5"/>
  <c r="AQ43" i="5"/>
  <c r="AP43" i="5"/>
  <c r="AO43" i="5"/>
  <c r="AT17" i="5"/>
  <c r="AW8" i="5"/>
  <c r="AV45" i="5"/>
  <c r="AU45" i="5"/>
  <c r="AT45" i="5"/>
  <c r="L4" i="5"/>
  <c r="CF15" i="1"/>
  <c r="AB33" i="1"/>
  <c r="AA33" i="1"/>
  <c r="Z33" i="1"/>
  <c r="AP47" i="13" l="1"/>
  <c r="AP49" i="13" s="1"/>
  <c r="AR36" i="13"/>
  <c r="J36" i="13" s="1"/>
  <c r="AQ47" i="13"/>
  <c r="AQ49" i="13" s="1"/>
  <c r="BB4" i="13"/>
  <c r="AR33" i="13"/>
  <c r="J33" i="13" s="1"/>
  <c r="AO47" i="13"/>
  <c r="AT28" i="13"/>
  <c r="AT26" i="13"/>
  <c r="AT24" i="13"/>
  <c r="AT22" i="13"/>
  <c r="AT21" i="13"/>
  <c r="AT23" i="13"/>
  <c r="AT25" i="13"/>
  <c r="AT27" i="13"/>
  <c r="AT16" i="13"/>
  <c r="AU17" i="13"/>
  <c r="AR35" i="13"/>
  <c r="J35" i="13" s="1"/>
  <c r="AR43" i="11"/>
  <c r="J43" i="11" s="1"/>
  <c r="K41" i="12"/>
  <c r="K40" i="12"/>
  <c r="AV28" i="12"/>
  <c r="AW28" i="12" s="1"/>
  <c r="AV26" i="12"/>
  <c r="AW26" i="12" s="1"/>
  <c r="AV25" i="12"/>
  <c r="AW25" i="12" s="1"/>
  <c r="AV24" i="12"/>
  <c r="AW24" i="12" s="1"/>
  <c r="AV16" i="12"/>
  <c r="AW16" i="12" s="1"/>
  <c r="AV27" i="12"/>
  <c r="AW27" i="12" s="1"/>
  <c r="AV22" i="12"/>
  <c r="AW22" i="12" s="1"/>
  <c r="AV21" i="12"/>
  <c r="AV23" i="12"/>
  <c r="AW23" i="12" s="1"/>
  <c r="AW18" i="12"/>
  <c r="K18" i="12" s="1"/>
  <c r="AW45" i="11"/>
  <c r="AT26" i="11"/>
  <c r="AT28" i="11"/>
  <c r="AT24" i="11"/>
  <c r="AT22" i="11"/>
  <c r="AT27" i="11"/>
  <c r="AT21" i="11"/>
  <c r="AT25" i="11"/>
  <c r="AT23" i="11"/>
  <c r="AT16" i="11"/>
  <c r="AU17" i="11"/>
  <c r="AU18" i="11" s="1"/>
  <c r="AQ35" i="11"/>
  <c r="AP35" i="11"/>
  <c r="AO35" i="11"/>
  <c r="AQ33" i="11"/>
  <c r="AP33" i="11"/>
  <c r="AO33" i="11"/>
  <c r="AR34" i="11"/>
  <c r="J34" i="11" s="1"/>
  <c r="BA4" i="11"/>
  <c r="AZ4" i="11"/>
  <c r="AY4" i="11"/>
  <c r="AW39" i="11"/>
  <c r="AP36" i="11"/>
  <c r="AQ36" i="11"/>
  <c r="AO36" i="11"/>
  <c r="AW8" i="7"/>
  <c r="AT27" i="8"/>
  <c r="AT28" i="8"/>
  <c r="AT16" i="8"/>
  <c r="AT25" i="8"/>
  <c r="AT26" i="8"/>
  <c r="AT24" i="8"/>
  <c r="AT23" i="8"/>
  <c r="AT21" i="8"/>
  <c r="AT22" i="8"/>
  <c r="AU17" i="8"/>
  <c r="AU18" i="8" s="1"/>
  <c r="I35" i="8"/>
  <c r="AO34" i="8"/>
  <c r="AQ34" i="8"/>
  <c r="AP34" i="8"/>
  <c r="AV39" i="8"/>
  <c r="AT39" i="8"/>
  <c r="AU39" i="8"/>
  <c r="AO43" i="8"/>
  <c r="AQ43" i="8"/>
  <c r="AP43" i="8"/>
  <c r="AV45" i="8"/>
  <c r="AU45" i="8"/>
  <c r="AT45" i="8"/>
  <c r="L4" i="8"/>
  <c r="AW45" i="5"/>
  <c r="AR43" i="5"/>
  <c r="J43" i="5" s="1"/>
  <c r="AO43" i="7"/>
  <c r="AP43" i="7"/>
  <c r="AQ43" i="7"/>
  <c r="AV45" i="7"/>
  <c r="AU45" i="7"/>
  <c r="AT45" i="7"/>
  <c r="L4" i="7"/>
  <c r="AT39" i="7"/>
  <c r="AV39" i="7"/>
  <c r="AU39" i="7"/>
  <c r="AT18" i="7"/>
  <c r="AR40" i="7"/>
  <c r="J40" i="7" s="1"/>
  <c r="AR41" i="7"/>
  <c r="J41" i="7" s="1"/>
  <c r="AQ34" i="7"/>
  <c r="AP34" i="7"/>
  <c r="I36" i="7"/>
  <c r="AO34" i="7"/>
  <c r="I35" i="7"/>
  <c r="I33" i="7"/>
  <c r="AO33" i="5"/>
  <c r="AQ33" i="5"/>
  <c r="AP33" i="5"/>
  <c r="AR40" i="5"/>
  <c r="J40" i="5" s="1"/>
  <c r="AR41" i="5"/>
  <c r="J41" i="5" s="1"/>
  <c r="AT18" i="5"/>
  <c r="AQ35" i="5"/>
  <c r="AP35" i="5"/>
  <c r="AO35" i="5"/>
  <c r="AR34" i="5"/>
  <c r="J34" i="5" s="1"/>
  <c r="AQ36" i="5"/>
  <c r="AO36" i="5"/>
  <c r="AP36" i="5"/>
  <c r="AY4" i="5"/>
  <c r="BA4" i="5"/>
  <c r="AZ4" i="5"/>
  <c r="AW39" i="5"/>
  <c r="AC33" i="1"/>
  <c r="AQ47" i="11" l="1"/>
  <c r="AQ49" i="11" s="1"/>
  <c r="AT30" i="13"/>
  <c r="AU18" i="13"/>
  <c r="AR47" i="13"/>
  <c r="AO49" i="13"/>
  <c r="K16" i="12"/>
  <c r="L6" i="12"/>
  <c r="L7" i="12"/>
  <c r="K42" i="12"/>
  <c r="L14" i="12"/>
  <c r="AT41" i="12"/>
  <c r="AU41" i="12"/>
  <c r="AV41" i="12"/>
  <c r="AV40" i="12"/>
  <c r="AT40" i="12"/>
  <c r="AU40" i="12"/>
  <c r="AV30" i="12"/>
  <c r="AW21" i="12"/>
  <c r="AR35" i="11"/>
  <c r="J35" i="11" s="1"/>
  <c r="BB4" i="11"/>
  <c r="AR36" i="11"/>
  <c r="J36" i="11" s="1"/>
  <c r="AU27" i="11"/>
  <c r="AU28" i="11"/>
  <c r="AU23" i="11"/>
  <c r="AU24" i="11"/>
  <c r="AU22" i="11"/>
  <c r="AU21" i="11"/>
  <c r="AU26" i="11"/>
  <c r="AU25" i="11"/>
  <c r="AU16" i="11"/>
  <c r="AV17" i="11"/>
  <c r="AW17" i="11" s="1"/>
  <c r="K17" i="11" s="1"/>
  <c r="AT30" i="11"/>
  <c r="AO47" i="11"/>
  <c r="AR33" i="11"/>
  <c r="J33" i="11" s="1"/>
  <c r="AP47" i="11"/>
  <c r="AP49" i="11" s="1"/>
  <c r="AW45" i="7"/>
  <c r="AW39" i="7"/>
  <c r="AU27" i="8"/>
  <c r="AU23" i="8"/>
  <c r="AU25" i="8"/>
  <c r="AU26" i="8"/>
  <c r="AU24" i="8"/>
  <c r="AU28" i="8"/>
  <c r="AU21" i="8"/>
  <c r="AU22" i="8"/>
  <c r="AU16" i="8"/>
  <c r="AV17" i="8"/>
  <c r="AV18" i="8" s="1"/>
  <c r="AR34" i="8"/>
  <c r="J34" i="8" s="1"/>
  <c r="AR43" i="8"/>
  <c r="J43" i="8" s="1"/>
  <c r="AP33" i="8"/>
  <c r="AQ33" i="8"/>
  <c r="AO33" i="8"/>
  <c r="AP35" i="8"/>
  <c r="AO35" i="8"/>
  <c r="AQ35" i="8"/>
  <c r="BA4" i="8"/>
  <c r="AZ4" i="8"/>
  <c r="AY4" i="8"/>
  <c r="AW39" i="8"/>
  <c r="AW45" i="8"/>
  <c r="AQ36" i="8"/>
  <c r="AP36" i="8"/>
  <c r="AO36" i="8"/>
  <c r="AR36" i="8" s="1"/>
  <c r="J36" i="8" s="1"/>
  <c r="AT30" i="8"/>
  <c r="AR36" i="5"/>
  <c r="J36" i="5" s="1"/>
  <c r="AY4" i="7"/>
  <c r="BA4" i="7"/>
  <c r="AZ4" i="7"/>
  <c r="AO33" i="7"/>
  <c r="AQ33" i="7"/>
  <c r="AP33" i="7"/>
  <c r="AT27" i="7"/>
  <c r="AT26" i="7"/>
  <c r="AT28" i="7"/>
  <c r="AT23" i="7"/>
  <c r="AT22" i="7"/>
  <c r="AT16" i="7"/>
  <c r="AT25" i="7"/>
  <c r="AT21" i="7"/>
  <c r="AT24" i="7"/>
  <c r="AU17" i="7"/>
  <c r="AU18" i="7" s="1"/>
  <c r="AO35" i="7"/>
  <c r="AQ35" i="7"/>
  <c r="AP35" i="7"/>
  <c r="AR34" i="7"/>
  <c r="J34" i="7" s="1"/>
  <c r="AP36" i="7"/>
  <c r="AO36" i="7"/>
  <c r="AQ36" i="7"/>
  <c r="AR43" i="7"/>
  <c r="J43" i="7" s="1"/>
  <c r="BB4" i="5"/>
  <c r="AT27" i="5"/>
  <c r="AT25" i="5"/>
  <c r="AT26" i="5"/>
  <c r="AT22" i="5"/>
  <c r="AT24" i="5"/>
  <c r="AT21" i="5"/>
  <c r="AT28" i="5"/>
  <c r="AT23" i="5"/>
  <c r="AT16" i="5"/>
  <c r="AU17" i="5"/>
  <c r="AU18" i="5" s="1"/>
  <c r="AP47" i="5"/>
  <c r="AP49" i="5" s="1"/>
  <c r="AR35" i="5"/>
  <c r="J35" i="5" s="1"/>
  <c r="AQ47" i="5"/>
  <c r="AQ49" i="5" s="1"/>
  <c r="AO47" i="5"/>
  <c r="AR33" i="5"/>
  <c r="J33" i="5" s="1"/>
  <c r="AM7" i="1"/>
  <c r="I47" i="13" l="1"/>
  <c r="J47" i="13" s="1"/>
  <c r="AR49" i="13"/>
  <c r="I49" i="13" s="1"/>
  <c r="AU25" i="13"/>
  <c r="AU16" i="13"/>
  <c r="AU27" i="13"/>
  <c r="AU24" i="13"/>
  <c r="AU22" i="13"/>
  <c r="AU21" i="13"/>
  <c r="AU28" i="13"/>
  <c r="AU23" i="13"/>
  <c r="AU26" i="13"/>
  <c r="AV17" i="13"/>
  <c r="AW17" i="13" s="1"/>
  <c r="K17" i="13" s="1"/>
  <c r="K37" i="12"/>
  <c r="L8" i="12"/>
  <c r="AW40" i="12"/>
  <c r="AW41" i="12"/>
  <c r="AZ7" i="12"/>
  <c r="AY7" i="12"/>
  <c r="BA7" i="12"/>
  <c r="BA6" i="12"/>
  <c r="AY6" i="12"/>
  <c r="AZ6" i="12"/>
  <c r="AY14" i="12"/>
  <c r="BA14" i="12"/>
  <c r="AZ14" i="12"/>
  <c r="AV42" i="12"/>
  <c r="AU42" i="12"/>
  <c r="AT42" i="12"/>
  <c r="AW30" i="12"/>
  <c r="K30" i="12" s="1"/>
  <c r="AU30" i="11"/>
  <c r="AR47" i="11"/>
  <c r="AO49" i="11"/>
  <c r="AV18" i="11"/>
  <c r="AW17" i="8"/>
  <c r="K17" i="8" s="1"/>
  <c r="AP47" i="8"/>
  <c r="AP49" i="8" s="1"/>
  <c r="AV27" i="8"/>
  <c r="AW27" i="8" s="1"/>
  <c r="AV26" i="8"/>
  <c r="AW26" i="8" s="1"/>
  <c r="AV25" i="8"/>
  <c r="AW25" i="8" s="1"/>
  <c r="AV24" i="8"/>
  <c r="AW24" i="8" s="1"/>
  <c r="AW18" i="8"/>
  <c r="K18" i="8" s="1"/>
  <c r="AV28" i="8"/>
  <c r="AW28" i="8" s="1"/>
  <c r="AV21" i="8"/>
  <c r="AV23" i="8"/>
  <c r="AW23" i="8" s="1"/>
  <c r="AV22" i="8"/>
  <c r="AW22" i="8" s="1"/>
  <c r="AV16" i="8"/>
  <c r="AW16" i="8" s="1"/>
  <c r="AR35" i="8"/>
  <c r="J35" i="8" s="1"/>
  <c r="BB4" i="8"/>
  <c r="AO47" i="8"/>
  <c r="AR33" i="8"/>
  <c r="J33" i="8" s="1"/>
  <c r="AQ47" i="8"/>
  <c r="AQ49" i="8" s="1"/>
  <c r="AU30" i="8"/>
  <c r="AU27" i="7"/>
  <c r="AU24" i="7"/>
  <c r="AU16" i="7"/>
  <c r="AU26" i="7"/>
  <c r="AU22" i="7"/>
  <c r="AU21" i="7"/>
  <c r="AU28" i="7"/>
  <c r="AU23" i="7"/>
  <c r="AU25" i="7"/>
  <c r="AV17" i="7"/>
  <c r="AV18" i="7" s="1"/>
  <c r="AQ47" i="7"/>
  <c r="AQ49" i="7" s="1"/>
  <c r="AO47" i="7"/>
  <c r="AR33" i="7"/>
  <c r="J33" i="7" s="1"/>
  <c r="AR35" i="7"/>
  <c r="J35" i="7" s="1"/>
  <c r="AR36" i="7"/>
  <c r="J36" i="7" s="1"/>
  <c r="AT30" i="7"/>
  <c r="BB4" i="7"/>
  <c r="AP47" i="7"/>
  <c r="AP49" i="7" s="1"/>
  <c r="AT30" i="5"/>
  <c r="AU26" i="5"/>
  <c r="AU22" i="5"/>
  <c r="AU23" i="5"/>
  <c r="AU28" i="5"/>
  <c r="AU24" i="5"/>
  <c r="AU27" i="5"/>
  <c r="AU25" i="5"/>
  <c r="AU21" i="5"/>
  <c r="AU16" i="5"/>
  <c r="AV17" i="5"/>
  <c r="AV18" i="5" s="1"/>
  <c r="AR47" i="5"/>
  <c r="AO49" i="5"/>
  <c r="AR7" i="1"/>
  <c r="AV18" i="13" l="1"/>
  <c r="K41" i="13"/>
  <c r="K40" i="13"/>
  <c r="J49" i="13"/>
  <c r="AU30" i="13"/>
  <c r="BB7" i="12"/>
  <c r="K34" i="12"/>
  <c r="L39" i="12"/>
  <c r="L45" i="12"/>
  <c r="M4" i="12" s="1"/>
  <c r="K43" i="12"/>
  <c r="BA8" i="12"/>
  <c r="AY8" i="12"/>
  <c r="AY17" i="12" s="1"/>
  <c r="AZ8" i="12"/>
  <c r="AW42" i="12"/>
  <c r="BB14" i="12"/>
  <c r="BB6" i="12"/>
  <c r="AU37" i="12"/>
  <c r="AV37" i="12"/>
  <c r="AT37" i="12"/>
  <c r="I47" i="11"/>
  <c r="J47" i="11" s="1"/>
  <c r="AR49" i="11"/>
  <c r="I49" i="11" s="1"/>
  <c r="AV27" i="11"/>
  <c r="AW27" i="11" s="1"/>
  <c r="AV24" i="11"/>
  <c r="AW24" i="11" s="1"/>
  <c r="AV28" i="11"/>
  <c r="AW28" i="11" s="1"/>
  <c r="AV25" i="11"/>
  <c r="AW25" i="11" s="1"/>
  <c r="AV22" i="11"/>
  <c r="AW22" i="11" s="1"/>
  <c r="AV21" i="11"/>
  <c r="AW18" i="11"/>
  <c r="K18" i="11" s="1"/>
  <c r="AV26" i="11"/>
  <c r="AW26" i="11" s="1"/>
  <c r="AV23" i="11"/>
  <c r="AW23" i="11" s="1"/>
  <c r="AV16" i="11"/>
  <c r="AW16" i="11" s="1"/>
  <c r="AW17" i="7"/>
  <c r="K17" i="7" s="1"/>
  <c r="K42" i="8"/>
  <c r="L7" i="8"/>
  <c r="K16" i="8"/>
  <c r="L6" i="8"/>
  <c r="L14" i="8"/>
  <c r="AR47" i="8"/>
  <c r="AO49" i="8"/>
  <c r="AV30" i="8"/>
  <c r="AW30" i="8" s="1"/>
  <c r="AW21" i="8"/>
  <c r="AV25" i="7"/>
  <c r="AW25" i="7" s="1"/>
  <c r="AV27" i="7"/>
  <c r="AW27" i="7" s="1"/>
  <c r="AV26" i="7"/>
  <c r="AW26" i="7" s="1"/>
  <c r="AV22" i="7"/>
  <c r="AW22" i="7" s="1"/>
  <c r="AV16" i="7"/>
  <c r="AW16" i="7" s="1"/>
  <c r="AV21" i="7"/>
  <c r="AV24" i="7"/>
  <c r="AW24" i="7" s="1"/>
  <c r="AV28" i="7"/>
  <c r="AW28" i="7" s="1"/>
  <c r="AV23" i="7"/>
  <c r="AW23" i="7" s="1"/>
  <c r="AW18" i="7"/>
  <c r="K18" i="7" s="1"/>
  <c r="AU30" i="7"/>
  <c r="AR47" i="7"/>
  <c r="AO49" i="7"/>
  <c r="AW25" i="5"/>
  <c r="AV26" i="5"/>
  <c r="AW26" i="5" s="1"/>
  <c r="AV22" i="5"/>
  <c r="AW22" i="5" s="1"/>
  <c r="AV23" i="5"/>
  <c r="AW23" i="5" s="1"/>
  <c r="AV27" i="5"/>
  <c r="AW27" i="5" s="1"/>
  <c r="AV25" i="5"/>
  <c r="AW18" i="5"/>
  <c r="K18" i="5" s="1"/>
  <c r="AV21" i="5"/>
  <c r="AW21" i="5" s="1"/>
  <c r="AV16" i="5"/>
  <c r="AW16" i="5" s="1"/>
  <c r="AV28" i="5"/>
  <c r="AW28" i="5" s="1"/>
  <c r="AV24" i="5"/>
  <c r="AW24" i="5" s="1"/>
  <c r="AW17" i="5"/>
  <c r="K17" i="5" s="1"/>
  <c r="I47" i="5"/>
  <c r="J47" i="5" s="1"/>
  <c r="AR49" i="5"/>
  <c r="I49" i="5" s="1"/>
  <c r="AU30" i="5"/>
  <c r="AC40" i="1"/>
  <c r="AU40" i="13" l="1"/>
  <c r="AT40" i="13"/>
  <c r="AV40" i="13"/>
  <c r="AV27" i="13"/>
  <c r="AW27" i="13" s="1"/>
  <c r="AV28" i="13"/>
  <c r="AW28" i="13" s="1"/>
  <c r="AV26" i="13"/>
  <c r="AW26" i="13" s="1"/>
  <c r="AV23" i="13"/>
  <c r="AW23" i="13" s="1"/>
  <c r="AV24" i="13"/>
  <c r="AW24" i="13" s="1"/>
  <c r="AV22" i="13"/>
  <c r="AW22" i="13" s="1"/>
  <c r="AV21" i="13"/>
  <c r="AV16" i="13"/>
  <c r="AW16" i="13" s="1"/>
  <c r="AV25" i="13"/>
  <c r="AW25" i="13" s="1"/>
  <c r="AW18" i="13"/>
  <c r="K18" i="13" s="1"/>
  <c r="AU41" i="13"/>
  <c r="AV41" i="13"/>
  <c r="AT41" i="13"/>
  <c r="BB8" i="12"/>
  <c r="K35" i="12"/>
  <c r="K33" i="12"/>
  <c r="K36" i="12"/>
  <c r="AW37" i="12"/>
  <c r="AY18" i="12"/>
  <c r="AV30" i="11"/>
  <c r="AW21" i="11"/>
  <c r="K42" i="11"/>
  <c r="L14" i="11"/>
  <c r="K16" i="11"/>
  <c r="L7" i="11"/>
  <c r="L6" i="11"/>
  <c r="L8" i="11" s="1"/>
  <c r="K40" i="11"/>
  <c r="K41" i="11"/>
  <c r="J49" i="11"/>
  <c r="AV30" i="7"/>
  <c r="AW30" i="7" s="1"/>
  <c r="L8" i="8"/>
  <c r="AY8" i="8" s="1"/>
  <c r="BA14" i="8"/>
  <c r="AZ14" i="8"/>
  <c r="AY14" i="8"/>
  <c r="BA6" i="8"/>
  <c r="AZ6" i="8"/>
  <c r="AY6" i="8"/>
  <c r="K30" i="8"/>
  <c r="AY7" i="8"/>
  <c r="BA7" i="8"/>
  <c r="AZ7" i="8"/>
  <c r="I47" i="8"/>
  <c r="J47" i="8" s="1"/>
  <c r="AR49" i="8"/>
  <c r="I49" i="8" s="1"/>
  <c r="AV42" i="8"/>
  <c r="AU42" i="8"/>
  <c r="AT42" i="8"/>
  <c r="K37" i="8"/>
  <c r="K42" i="7"/>
  <c r="K16" i="7"/>
  <c r="L6" i="7"/>
  <c r="L7" i="7"/>
  <c r="L14" i="7"/>
  <c r="AW21" i="7"/>
  <c r="I47" i="7"/>
  <c r="J47" i="7" s="1"/>
  <c r="AR49" i="7"/>
  <c r="I49" i="7" s="1"/>
  <c r="AV30" i="5"/>
  <c r="K42" i="5"/>
  <c r="L14" i="5"/>
  <c r="K16" i="5"/>
  <c r="L6" i="5"/>
  <c r="L7" i="5"/>
  <c r="K37" i="5"/>
  <c r="K40" i="5"/>
  <c r="K41" i="5"/>
  <c r="J49" i="5"/>
  <c r="AG45" i="1"/>
  <c r="AF45" i="1"/>
  <c r="AE45" i="1"/>
  <c r="AH45" i="1" l="1"/>
  <c r="AW41" i="13"/>
  <c r="K42" i="13"/>
  <c r="L7" i="13"/>
  <c r="L14" i="13"/>
  <c r="K16" i="13"/>
  <c r="L6" i="13"/>
  <c r="AV30" i="13"/>
  <c r="AW21" i="13"/>
  <c r="AW40" i="13"/>
  <c r="AU43" i="12"/>
  <c r="AT43" i="12"/>
  <c r="AV43" i="12"/>
  <c r="AY39" i="12"/>
  <c r="AZ39" i="12"/>
  <c r="BA39" i="12"/>
  <c r="AT34" i="12"/>
  <c r="AU34" i="12"/>
  <c r="AV34" i="12"/>
  <c r="AY45" i="12"/>
  <c r="BA45" i="12"/>
  <c r="AZ45" i="12"/>
  <c r="AY27" i="12"/>
  <c r="AY28" i="12"/>
  <c r="AY22" i="12"/>
  <c r="AY21" i="12"/>
  <c r="AY23" i="12"/>
  <c r="AY26" i="12"/>
  <c r="AY16" i="12"/>
  <c r="AY25" i="12"/>
  <c r="AY24" i="12"/>
  <c r="AZ17" i="12"/>
  <c r="AV40" i="11"/>
  <c r="AT40" i="11"/>
  <c r="AU40" i="11"/>
  <c r="BA8" i="11"/>
  <c r="AZ8" i="11"/>
  <c r="AY8" i="11"/>
  <c r="BA6" i="11"/>
  <c r="AZ6" i="11"/>
  <c r="AY6" i="11"/>
  <c r="AY7" i="11"/>
  <c r="BA7" i="11"/>
  <c r="AZ7" i="11"/>
  <c r="AY14" i="11"/>
  <c r="BA14" i="11"/>
  <c r="AZ14" i="11"/>
  <c r="AV42" i="11"/>
  <c r="AU42" i="11"/>
  <c r="AT42" i="11"/>
  <c r="K37" i="11"/>
  <c r="AT41" i="11"/>
  <c r="AU41" i="11"/>
  <c r="AV41" i="11"/>
  <c r="AW30" i="11"/>
  <c r="L8" i="7"/>
  <c r="AY8" i="7" s="1"/>
  <c r="BA8" i="8"/>
  <c r="AZ8" i="8"/>
  <c r="BB14" i="8"/>
  <c r="BB6" i="8"/>
  <c r="AW42" i="8"/>
  <c r="BB7" i="8"/>
  <c r="L45" i="8"/>
  <c r="K43" i="8"/>
  <c r="K34" i="8"/>
  <c r="L39" i="8"/>
  <c r="K41" i="8"/>
  <c r="K40" i="8"/>
  <c r="J49" i="8"/>
  <c r="AY17" i="8"/>
  <c r="AT37" i="8"/>
  <c r="AU37" i="8"/>
  <c r="AV37" i="8"/>
  <c r="K30" i="7"/>
  <c r="AV42" i="7"/>
  <c r="AU42" i="7"/>
  <c r="AT42" i="7"/>
  <c r="K37" i="7"/>
  <c r="BA14" i="7"/>
  <c r="AZ14" i="7"/>
  <c r="AY14" i="7"/>
  <c r="AZ7" i="7"/>
  <c r="BA7" i="7"/>
  <c r="AY7" i="7"/>
  <c r="K40" i="7"/>
  <c r="K41" i="7"/>
  <c r="J49" i="7"/>
  <c r="AY6" i="7"/>
  <c r="BA6" i="7"/>
  <c r="AZ6" i="7"/>
  <c r="AV41" i="5"/>
  <c r="AU41" i="5"/>
  <c r="AT41" i="5"/>
  <c r="BA7" i="5"/>
  <c r="AY7" i="5"/>
  <c r="AZ7" i="5"/>
  <c r="AY6" i="5"/>
  <c r="BA6" i="5"/>
  <c r="AZ6" i="5"/>
  <c r="L8" i="5"/>
  <c r="AT40" i="5"/>
  <c r="AV40" i="5"/>
  <c r="AU40" i="5"/>
  <c r="AZ14" i="5"/>
  <c r="AY14" i="5"/>
  <c r="BA14" i="5"/>
  <c r="AV42" i="5"/>
  <c r="AT42" i="5"/>
  <c r="AU42" i="5"/>
  <c r="AV37" i="5"/>
  <c r="AU37" i="5"/>
  <c r="AT37" i="5"/>
  <c r="AW30" i="5"/>
  <c r="AH4" i="1"/>
  <c r="L8" i="13" l="1"/>
  <c r="AZ8" i="13" s="1"/>
  <c r="BB8" i="8"/>
  <c r="BA6" i="13"/>
  <c r="AZ6" i="13"/>
  <c r="AY6" i="13"/>
  <c r="K37" i="13"/>
  <c r="AW30" i="13"/>
  <c r="BA14" i="13"/>
  <c r="AY14" i="13"/>
  <c r="AZ14" i="13"/>
  <c r="AY7" i="13"/>
  <c r="AZ7" i="13"/>
  <c r="BA7" i="13"/>
  <c r="AV42" i="13"/>
  <c r="AT42" i="13"/>
  <c r="AU42" i="13"/>
  <c r="AW34" i="12"/>
  <c r="BF4" i="12"/>
  <c r="BE4" i="12"/>
  <c r="BD4" i="12"/>
  <c r="AY30" i="12"/>
  <c r="BB45" i="12"/>
  <c r="BB39" i="12"/>
  <c r="AV36" i="12"/>
  <c r="AU36" i="12"/>
  <c r="AT36" i="12"/>
  <c r="AU33" i="12"/>
  <c r="AV33" i="12"/>
  <c r="AT33" i="12"/>
  <c r="AW43" i="12"/>
  <c r="AZ18" i="12"/>
  <c r="AV35" i="12"/>
  <c r="AU35" i="12"/>
  <c r="AT35" i="12"/>
  <c r="BB14" i="11"/>
  <c r="AW42" i="11"/>
  <c r="AV37" i="11"/>
  <c r="AT37" i="11"/>
  <c r="AU37" i="11"/>
  <c r="AY17" i="11"/>
  <c r="BB8" i="11"/>
  <c r="K30" i="11"/>
  <c r="BB7" i="11"/>
  <c r="BB6" i="11"/>
  <c r="AW40" i="11"/>
  <c r="AW41" i="11"/>
  <c r="BB14" i="7"/>
  <c r="AZ8" i="7"/>
  <c r="BA8" i="7"/>
  <c r="AW42" i="7"/>
  <c r="BB6" i="7"/>
  <c r="K33" i="8"/>
  <c r="K36" i="8"/>
  <c r="AU40" i="8"/>
  <c r="AV40" i="8"/>
  <c r="AT40" i="8"/>
  <c r="AV41" i="8"/>
  <c r="AU41" i="8"/>
  <c r="AT41" i="8"/>
  <c r="AW37" i="8"/>
  <c r="AZ39" i="8"/>
  <c r="BA39" i="8"/>
  <c r="AY39" i="8"/>
  <c r="AT34" i="8"/>
  <c r="K35" i="8"/>
  <c r="AU34" i="8"/>
  <c r="AV34" i="8"/>
  <c r="AV43" i="8"/>
  <c r="AU43" i="8"/>
  <c r="AT43" i="8"/>
  <c r="AY18" i="8"/>
  <c r="AY45" i="8"/>
  <c r="BA45" i="8"/>
  <c r="AZ45" i="8"/>
  <c r="M4" i="8"/>
  <c r="AW37" i="5"/>
  <c r="BB14" i="5"/>
  <c r="AW40" i="5"/>
  <c r="BB7" i="5"/>
  <c r="AW42" i="5"/>
  <c r="AT37" i="7"/>
  <c r="AV37" i="7"/>
  <c r="AU37" i="7"/>
  <c r="AT41" i="7"/>
  <c r="AU41" i="7"/>
  <c r="AV41" i="7"/>
  <c r="AV40" i="7"/>
  <c r="AU40" i="7"/>
  <c r="AT40" i="7"/>
  <c r="BB7" i="7"/>
  <c r="AY17" i="7"/>
  <c r="L45" i="7"/>
  <c r="L39" i="7"/>
  <c r="K34" i="7"/>
  <c r="K43" i="7"/>
  <c r="BB6" i="5"/>
  <c r="AZ8" i="5"/>
  <c r="AY8" i="5"/>
  <c r="BA8" i="5"/>
  <c r="AW41" i="5"/>
  <c r="K30" i="5"/>
  <c r="AC8" i="1"/>
  <c r="AA17" i="1"/>
  <c r="AA18" i="1" s="1"/>
  <c r="AY8" i="13" l="1"/>
  <c r="AY17" i="13" s="1"/>
  <c r="BA8" i="13"/>
  <c r="BB14" i="13"/>
  <c r="AW42" i="13"/>
  <c r="BB7" i="13"/>
  <c r="BB6" i="13"/>
  <c r="K30" i="13"/>
  <c r="AV37" i="13"/>
  <c r="AT37" i="13"/>
  <c r="AU37" i="13"/>
  <c r="AZ28" i="12"/>
  <c r="AZ27" i="12"/>
  <c r="AZ26" i="12"/>
  <c r="AZ24" i="12"/>
  <c r="AZ22" i="12"/>
  <c r="AZ21" i="12"/>
  <c r="AZ25" i="12"/>
  <c r="AZ23" i="12"/>
  <c r="AZ16" i="12"/>
  <c r="BA17" i="12"/>
  <c r="BB17" i="12" s="1"/>
  <c r="L17" i="12" s="1"/>
  <c r="AT47" i="12"/>
  <c r="AW33" i="12"/>
  <c r="AW35" i="12"/>
  <c r="AV47" i="12"/>
  <c r="AV49" i="12" s="1"/>
  <c r="BG4" i="12"/>
  <c r="AU47" i="12"/>
  <c r="AU49" i="12" s="1"/>
  <c r="AW36" i="12"/>
  <c r="L45" i="11"/>
  <c r="L39" i="11"/>
  <c r="K43" i="11"/>
  <c r="K34" i="11"/>
  <c r="AY18" i="11"/>
  <c r="AW37" i="11"/>
  <c r="BB8" i="7"/>
  <c r="AW40" i="7"/>
  <c r="AW43" i="8"/>
  <c r="AW41" i="8"/>
  <c r="AW40" i="8"/>
  <c r="BB45" i="8"/>
  <c r="AU35" i="8"/>
  <c r="AV35" i="8"/>
  <c r="AT35" i="8"/>
  <c r="AV33" i="8"/>
  <c r="AT33" i="8"/>
  <c r="AU33" i="8"/>
  <c r="AW34" i="8"/>
  <c r="AV36" i="8"/>
  <c r="AU36" i="8"/>
  <c r="AT36" i="8"/>
  <c r="AY28" i="8"/>
  <c r="AY26" i="8"/>
  <c r="AY24" i="8"/>
  <c r="AY21" i="8"/>
  <c r="AY23" i="8"/>
  <c r="AY27" i="8"/>
  <c r="AY22" i="8"/>
  <c r="AY16" i="8"/>
  <c r="AY25" i="8"/>
  <c r="AZ17" i="8"/>
  <c r="AZ18" i="8" s="1"/>
  <c r="BB39" i="8"/>
  <c r="BF4" i="8"/>
  <c r="BE4" i="8"/>
  <c r="BD4" i="8"/>
  <c r="AY39" i="7"/>
  <c r="BA39" i="7"/>
  <c r="AZ39" i="7"/>
  <c r="AY18" i="7"/>
  <c r="AW41" i="7"/>
  <c r="AU43" i="7"/>
  <c r="AT43" i="7"/>
  <c r="AV43" i="7"/>
  <c r="AW37" i="7"/>
  <c r="AY45" i="7"/>
  <c r="BA45" i="7"/>
  <c r="AZ45" i="7"/>
  <c r="M4" i="7"/>
  <c r="AV34" i="7"/>
  <c r="AU34" i="7"/>
  <c r="K36" i="7"/>
  <c r="K33" i="7"/>
  <c r="AT34" i="7"/>
  <c r="K35" i="7"/>
  <c r="AY17" i="5"/>
  <c r="BB8" i="5"/>
  <c r="K43" i="5"/>
  <c r="L39" i="5"/>
  <c r="L45" i="5"/>
  <c r="K34" i="5"/>
  <c r="AA26" i="1"/>
  <c r="AA25" i="1"/>
  <c r="AA24" i="1"/>
  <c r="AA22" i="1"/>
  <c r="AA23" i="1"/>
  <c r="AA28" i="1"/>
  <c r="AA16" i="1"/>
  <c r="AB17" i="1"/>
  <c r="AB18" i="1" s="1"/>
  <c r="AA27" i="1"/>
  <c r="AA21" i="1"/>
  <c r="BB8" i="13" l="1"/>
  <c r="AW37" i="13"/>
  <c r="AY18" i="13"/>
  <c r="L39" i="13"/>
  <c r="L45" i="13"/>
  <c r="K43" i="13"/>
  <c r="K34" i="13"/>
  <c r="AZ30" i="12"/>
  <c r="BA18" i="12"/>
  <c r="AW47" i="12"/>
  <c r="K47" i="12" s="1"/>
  <c r="AT49" i="12"/>
  <c r="AY28" i="11"/>
  <c r="AY26" i="11"/>
  <c r="AY23" i="11"/>
  <c r="AY21" i="11"/>
  <c r="AY27" i="11"/>
  <c r="AY25" i="11"/>
  <c r="AY16" i="11"/>
  <c r="AY22" i="11"/>
  <c r="AY24" i="11"/>
  <c r="AZ17" i="11"/>
  <c r="AZ18" i="11" s="1"/>
  <c r="K35" i="11"/>
  <c r="AV34" i="11"/>
  <c r="AT34" i="11"/>
  <c r="AU34" i="11"/>
  <c r="K33" i="11"/>
  <c r="K36" i="11"/>
  <c r="AU43" i="11"/>
  <c r="AT43" i="11"/>
  <c r="AV43" i="11"/>
  <c r="AY39" i="11"/>
  <c r="AZ39" i="11"/>
  <c r="BA39" i="11"/>
  <c r="AY45" i="11"/>
  <c r="AZ45" i="11"/>
  <c r="BA45" i="11"/>
  <c r="M4" i="11"/>
  <c r="AV47" i="8"/>
  <c r="AV49" i="8" s="1"/>
  <c r="AW36" i="8"/>
  <c r="BG4" i="8"/>
  <c r="AW35" i="8"/>
  <c r="AT47" i="8"/>
  <c r="AW33" i="8"/>
  <c r="AY30" i="8"/>
  <c r="AZ27" i="8"/>
  <c r="AZ28" i="8"/>
  <c r="AZ25" i="8"/>
  <c r="AZ23" i="8"/>
  <c r="AZ22" i="8"/>
  <c r="AZ16" i="8"/>
  <c r="AZ26" i="8"/>
  <c r="AZ24" i="8"/>
  <c r="AZ21" i="8"/>
  <c r="BA17" i="8"/>
  <c r="BA18" i="8" s="1"/>
  <c r="AU47" i="8"/>
  <c r="AU49" i="8" s="1"/>
  <c r="AW43" i="7"/>
  <c r="AT35" i="7"/>
  <c r="AU35" i="7"/>
  <c r="AV35" i="7"/>
  <c r="AY28" i="7"/>
  <c r="AY26" i="7"/>
  <c r="AY27" i="7"/>
  <c r="AY16" i="7"/>
  <c r="AY21" i="7"/>
  <c r="AY25" i="7"/>
  <c r="AY24" i="7"/>
  <c r="AY23" i="7"/>
  <c r="AY22" i="7"/>
  <c r="AZ17" i="7"/>
  <c r="AW34" i="7"/>
  <c r="BB45" i="7"/>
  <c r="BE4" i="7"/>
  <c r="BF4" i="7"/>
  <c r="BD4" i="7"/>
  <c r="AU33" i="7"/>
  <c r="AT33" i="7"/>
  <c r="AV33" i="7"/>
  <c r="AU36" i="7"/>
  <c r="AV36" i="7"/>
  <c r="AT36" i="7"/>
  <c r="BB39" i="7"/>
  <c r="K36" i="5"/>
  <c r="K35" i="5"/>
  <c r="AV34" i="5"/>
  <c r="AT34" i="5"/>
  <c r="K33" i="5"/>
  <c r="AU34" i="5"/>
  <c r="AV43" i="5"/>
  <c r="AU43" i="5"/>
  <c r="AT43" i="5"/>
  <c r="BA45" i="5"/>
  <c r="AZ45" i="5"/>
  <c r="AY45" i="5"/>
  <c r="M4" i="5"/>
  <c r="AZ39" i="5"/>
  <c r="BA39" i="5"/>
  <c r="AY39" i="5"/>
  <c r="AY18" i="5"/>
  <c r="AB16" i="1"/>
  <c r="AC16" i="1" s="1"/>
  <c r="AB28" i="1"/>
  <c r="AC28" i="1" s="1"/>
  <c r="AB22" i="1"/>
  <c r="AC22" i="1" s="1"/>
  <c r="AB23" i="1"/>
  <c r="AC23" i="1" s="1"/>
  <c r="AB25" i="1"/>
  <c r="AC25" i="1" s="1"/>
  <c r="AB26" i="1"/>
  <c r="AC26" i="1" s="1"/>
  <c r="AB21" i="1"/>
  <c r="AC21" i="1" s="1"/>
  <c r="AB24" i="1"/>
  <c r="AC24" i="1" s="1"/>
  <c r="AB27" i="1"/>
  <c r="AC27" i="1" s="1"/>
  <c r="AC18" i="1"/>
  <c r="F18" i="1" s="1"/>
  <c r="AA30" i="1"/>
  <c r="AC17" i="1"/>
  <c r="F17" i="1" s="1"/>
  <c r="AU34" i="13" l="1"/>
  <c r="K33" i="13"/>
  <c r="K36" i="13"/>
  <c r="K35" i="13"/>
  <c r="AV34" i="13"/>
  <c r="AT34" i="13"/>
  <c r="AU43" i="13"/>
  <c r="AT43" i="13"/>
  <c r="AV43" i="13"/>
  <c r="AZ45" i="13"/>
  <c r="BA45" i="13"/>
  <c r="AY45" i="13"/>
  <c r="M4" i="13"/>
  <c r="BA39" i="13"/>
  <c r="AY39" i="13"/>
  <c r="AZ39" i="13"/>
  <c r="AY26" i="13"/>
  <c r="AY28" i="13"/>
  <c r="AY27" i="13"/>
  <c r="AY25" i="13"/>
  <c r="AY22" i="13"/>
  <c r="AY21" i="13"/>
  <c r="AY23" i="13"/>
  <c r="AY24" i="13"/>
  <c r="AY16" i="13"/>
  <c r="AZ17" i="13"/>
  <c r="AZ18" i="13" s="1"/>
  <c r="BA25" i="12"/>
  <c r="BB25" i="12" s="1"/>
  <c r="BA26" i="12"/>
  <c r="BB26" i="12" s="1"/>
  <c r="BA28" i="12"/>
  <c r="BB28" i="12" s="1"/>
  <c r="BA22" i="12"/>
  <c r="BB22" i="12" s="1"/>
  <c r="BA21" i="12"/>
  <c r="BA23" i="12"/>
  <c r="BB23" i="12" s="1"/>
  <c r="BA24" i="12"/>
  <c r="BB24" i="12" s="1"/>
  <c r="BA16" i="12"/>
  <c r="BB16" i="12" s="1"/>
  <c r="BA27" i="12"/>
  <c r="BB27" i="12" s="1"/>
  <c r="BB18" i="12"/>
  <c r="L18" i="12" s="1"/>
  <c r="AW49" i="12"/>
  <c r="K49" i="12" s="1"/>
  <c r="AT33" i="11"/>
  <c r="AU33" i="11"/>
  <c r="AV33" i="11"/>
  <c r="BB39" i="11"/>
  <c r="AW34" i="11"/>
  <c r="AZ26" i="11"/>
  <c r="AZ27" i="11"/>
  <c r="AZ25" i="11"/>
  <c r="AZ23" i="11"/>
  <c r="AZ16" i="11"/>
  <c r="AZ22" i="11"/>
  <c r="AZ28" i="11"/>
  <c r="AZ24" i="11"/>
  <c r="AZ21" i="11"/>
  <c r="BA17" i="11"/>
  <c r="BA18" i="11" s="1"/>
  <c r="BF4" i="11"/>
  <c r="BE4" i="11"/>
  <c r="BD4" i="11"/>
  <c r="AT35" i="11"/>
  <c r="AV35" i="11"/>
  <c r="AU35" i="11"/>
  <c r="AY30" i="11"/>
  <c r="AW43" i="11"/>
  <c r="BB45" i="11"/>
  <c r="AT36" i="11"/>
  <c r="AU36" i="11"/>
  <c r="AV36" i="11"/>
  <c r="AU47" i="7"/>
  <c r="AU49" i="7" s="1"/>
  <c r="AW36" i="7"/>
  <c r="BG4" i="7"/>
  <c r="BB17" i="8"/>
  <c r="L17" i="8" s="1"/>
  <c r="BA27" i="8"/>
  <c r="BB27" i="8" s="1"/>
  <c r="BA23" i="8"/>
  <c r="BB23" i="8" s="1"/>
  <c r="BA28" i="8"/>
  <c r="BB28" i="8" s="1"/>
  <c r="BA22" i="8"/>
  <c r="BB22" i="8" s="1"/>
  <c r="BA25" i="8"/>
  <c r="BB25" i="8" s="1"/>
  <c r="BB18" i="8"/>
  <c r="L18" i="8" s="1"/>
  <c r="BA26" i="8"/>
  <c r="BB26" i="8" s="1"/>
  <c r="BA24" i="8"/>
  <c r="BB24" i="8" s="1"/>
  <c r="BA21" i="8"/>
  <c r="BA16" i="8"/>
  <c r="BB16" i="8" s="1"/>
  <c r="AW47" i="8"/>
  <c r="AT49" i="8"/>
  <c r="AZ30" i="8"/>
  <c r="BB45" i="5"/>
  <c r="AW43" i="5"/>
  <c r="AT47" i="7"/>
  <c r="AW33" i="7"/>
  <c r="AZ18" i="7"/>
  <c r="AY30" i="7"/>
  <c r="AW35" i="7"/>
  <c r="AV47" i="7"/>
  <c r="AV49" i="7" s="1"/>
  <c r="AV36" i="5"/>
  <c r="AU36" i="5"/>
  <c r="AT36" i="5"/>
  <c r="BB39" i="5"/>
  <c r="BF4" i="5"/>
  <c r="BE4" i="5"/>
  <c r="BD4" i="5"/>
  <c r="AW34" i="5"/>
  <c r="AT33" i="5"/>
  <c r="AV33" i="5"/>
  <c r="AU33" i="5"/>
  <c r="AY23" i="5"/>
  <c r="AY28" i="5"/>
  <c r="AY24" i="5"/>
  <c r="AY26" i="5"/>
  <c r="AY16" i="5"/>
  <c r="AY22" i="5"/>
  <c r="AY21" i="5"/>
  <c r="AY25" i="5"/>
  <c r="AY27" i="5"/>
  <c r="AZ17" i="5"/>
  <c r="AV35" i="5"/>
  <c r="AU35" i="5"/>
  <c r="AT35" i="5"/>
  <c r="G8" i="1"/>
  <c r="G14" i="1"/>
  <c r="F37" i="1"/>
  <c r="AB30" i="1"/>
  <c r="F42" i="1"/>
  <c r="F16" i="1"/>
  <c r="BB45" i="13" l="1"/>
  <c r="AW34" i="13"/>
  <c r="AW43" i="13"/>
  <c r="AZ26" i="13"/>
  <c r="AZ25" i="13"/>
  <c r="AZ27" i="13"/>
  <c r="AZ22" i="13"/>
  <c r="AZ21" i="13"/>
  <c r="AZ24" i="13"/>
  <c r="AZ28" i="13"/>
  <c r="AZ16" i="13"/>
  <c r="AZ23" i="13"/>
  <c r="BA17" i="13"/>
  <c r="BA18" i="13" s="1"/>
  <c r="AY30" i="13"/>
  <c r="BB39" i="13"/>
  <c r="BF4" i="13"/>
  <c r="BE4" i="13"/>
  <c r="BD4" i="13"/>
  <c r="AV35" i="13"/>
  <c r="AT35" i="13"/>
  <c r="AU35" i="13"/>
  <c r="AU36" i="13"/>
  <c r="AV36" i="13"/>
  <c r="AT36" i="13"/>
  <c r="AV33" i="13"/>
  <c r="AU33" i="13"/>
  <c r="AT33" i="13"/>
  <c r="L41" i="12"/>
  <c r="L40" i="12"/>
  <c r="L16" i="12"/>
  <c r="M14" i="12"/>
  <c r="M7" i="12"/>
  <c r="L42" i="12"/>
  <c r="M6" i="12"/>
  <c r="BA30" i="12"/>
  <c r="BB21" i="12"/>
  <c r="BB17" i="11"/>
  <c r="L17" i="11" s="1"/>
  <c r="AW35" i="11"/>
  <c r="BG4" i="11"/>
  <c r="BA27" i="11"/>
  <c r="BB27" i="11" s="1"/>
  <c r="BA25" i="11"/>
  <c r="BB25" i="11" s="1"/>
  <c r="BA28" i="11"/>
  <c r="BB28" i="11" s="1"/>
  <c r="BA24" i="11"/>
  <c r="BB24" i="11" s="1"/>
  <c r="BA16" i="11"/>
  <c r="BB16" i="11" s="1"/>
  <c r="BB18" i="11"/>
  <c r="L18" i="11" s="1"/>
  <c r="BA26" i="11"/>
  <c r="BB26" i="11" s="1"/>
  <c r="BA23" i="11"/>
  <c r="BB23" i="11" s="1"/>
  <c r="BA22" i="11"/>
  <c r="BB22" i="11" s="1"/>
  <c r="BA21" i="11"/>
  <c r="AW36" i="11"/>
  <c r="AV47" i="11"/>
  <c r="AV49" i="11" s="1"/>
  <c r="AU47" i="11"/>
  <c r="AU49" i="11" s="1"/>
  <c r="AZ30" i="11"/>
  <c r="AW33" i="11"/>
  <c r="AT47" i="11"/>
  <c r="L42" i="8"/>
  <c r="L16" i="8"/>
  <c r="M7" i="8"/>
  <c r="M6" i="8"/>
  <c r="M14" i="8"/>
  <c r="K47" i="8"/>
  <c r="AW49" i="8"/>
  <c r="K49" i="8" s="1"/>
  <c r="BA30" i="8"/>
  <c r="BB30" i="8" s="1"/>
  <c r="BB21" i="8"/>
  <c r="AW35" i="5"/>
  <c r="AU47" i="5"/>
  <c r="AU49" i="5" s="1"/>
  <c r="AZ27" i="7"/>
  <c r="AZ26" i="7"/>
  <c r="AZ22" i="7"/>
  <c r="AZ21" i="7"/>
  <c r="AZ28" i="7"/>
  <c r="AZ24" i="7"/>
  <c r="AZ16" i="7"/>
  <c r="AZ25" i="7"/>
  <c r="AZ23" i="7"/>
  <c r="BA17" i="7"/>
  <c r="BB17" i="7" s="1"/>
  <c r="L17" i="7" s="1"/>
  <c r="AW47" i="7"/>
  <c r="AT49" i="7"/>
  <c r="BG4" i="5"/>
  <c r="AY30" i="5"/>
  <c r="AT47" i="5"/>
  <c r="AW33" i="5"/>
  <c r="AV47" i="5"/>
  <c r="AV49" i="5" s="1"/>
  <c r="AW36" i="5"/>
  <c r="AZ18" i="5"/>
  <c r="AC30" i="1"/>
  <c r="AG14" i="1"/>
  <c r="AF14" i="1"/>
  <c r="AE14" i="1"/>
  <c r="AF8" i="1"/>
  <c r="AG8" i="1"/>
  <c r="AE8" i="1"/>
  <c r="AA37" i="1"/>
  <c r="AB37" i="1"/>
  <c r="Z37" i="1"/>
  <c r="Z42" i="1"/>
  <c r="AB42" i="1"/>
  <c r="AA42" i="1"/>
  <c r="AH14" i="1" l="1"/>
  <c r="BB17" i="13"/>
  <c r="L17" i="13" s="1"/>
  <c r="BG4" i="13"/>
  <c r="BA27" i="13"/>
  <c r="BB27" i="13" s="1"/>
  <c r="BA25" i="13"/>
  <c r="BB25" i="13" s="1"/>
  <c r="BA22" i="13"/>
  <c r="BB22" i="13" s="1"/>
  <c r="BA21" i="13"/>
  <c r="BA24" i="13"/>
  <c r="BB24" i="13" s="1"/>
  <c r="BA23" i="13"/>
  <c r="BB23" i="13" s="1"/>
  <c r="BA28" i="13"/>
  <c r="BB28" i="13" s="1"/>
  <c r="BA26" i="13"/>
  <c r="BB26" i="13" s="1"/>
  <c r="BB18" i="13"/>
  <c r="L18" i="13" s="1"/>
  <c r="BA16" i="13"/>
  <c r="BB16" i="13" s="1"/>
  <c r="AW36" i="13"/>
  <c r="AZ30" i="13"/>
  <c r="AT47" i="13"/>
  <c r="AW33" i="13"/>
  <c r="AU47" i="13"/>
  <c r="AU49" i="13" s="1"/>
  <c r="AV47" i="13"/>
  <c r="AV49" i="13" s="1"/>
  <c r="AW35" i="13"/>
  <c r="M8" i="12"/>
  <c r="L37" i="12"/>
  <c r="BA40" i="12"/>
  <c r="AZ40" i="12"/>
  <c r="AY40" i="12"/>
  <c r="BE7" i="12"/>
  <c r="BD7" i="12"/>
  <c r="BF7" i="12"/>
  <c r="BE6" i="12"/>
  <c r="BD6" i="12"/>
  <c r="BF6" i="12"/>
  <c r="BD14" i="12"/>
  <c r="BE14" i="12"/>
  <c r="BF14" i="12"/>
  <c r="BB30" i="12"/>
  <c r="L30" i="12" s="1"/>
  <c r="AZ41" i="12"/>
  <c r="AY41" i="12"/>
  <c r="BA41" i="12"/>
  <c r="AZ42" i="12"/>
  <c r="BA42" i="12"/>
  <c r="AY42" i="12"/>
  <c r="L42" i="11"/>
  <c r="L16" i="11"/>
  <c r="M14" i="11"/>
  <c r="M6" i="11"/>
  <c r="M7" i="11"/>
  <c r="AW47" i="11"/>
  <c r="AT49" i="11"/>
  <c r="BA30" i="11"/>
  <c r="BB21" i="11"/>
  <c r="M8" i="8"/>
  <c r="BE8" i="8" s="1"/>
  <c r="L30" i="8"/>
  <c r="AY42" i="8"/>
  <c r="BA42" i="8"/>
  <c r="AZ42" i="8"/>
  <c r="L37" i="8"/>
  <c r="BF14" i="8"/>
  <c r="BE14" i="8"/>
  <c r="BD14" i="8"/>
  <c r="BF6" i="8"/>
  <c r="BE6" i="8"/>
  <c r="BD6" i="8"/>
  <c r="L41" i="8"/>
  <c r="L40" i="8"/>
  <c r="BD7" i="8"/>
  <c r="BF7" i="8"/>
  <c r="BE7" i="8"/>
  <c r="K47" i="7"/>
  <c r="AW49" i="7"/>
  <c r="K49" i="7" s="1"/>
  <c r="AZ30" i="7"/>
  <c r="BA18" i="7"/>
  <c r="AW47" i="5"/>
  <c r="AT49" i="5"/>
  <c r="AZ28" i="5"/>
  <c r="AZ24" i="5"/>
  <c r="AZ27" i="5"/>
  <c r="AZ25" i="5"/>
  <c r="AZ26" i="5"/>
  <c r="AZ22" i="5"/>
  <c r="AZ16" i="5"/>
  <c r="AZ23" i="5"/>
  <c r="AZ21" i="5"/>
  <c r="BA17" i="5"/>
  <c r="BB17" i="5" s="1"/>
  <c r="L17" i="5" s="1"/>
  <c r="AA47" i="1"/>
  <c r="AA49" i="1" s="1"/>
  <c r="AC37" i="1"/>
  <c r="Z47" i="1"/>
  <c r="F30" i="1"/>
  <c r="AC42" i="1"/>
  <c r="AB47" i="1"/>
  <c r="AB49" i="1" s="1"/>
  <c r="AH8" i="1"/>
  <c r="AE17" i="1"/>
  <c r="BA30" i="13" l="1"/>
  <c r="BB30" i="13" s="1"/>
  <c r="BB21" i="13"/>
  <c r="L42" i="13"/>
  <c r="M14" i="13"/>
  <c r="L16" i="13"/>
  <c r="M7" i="13"/>
  <c r="M6" i="13"/>
  <c r="AW47" i="13"/>
  <c r="AT49" i="13"/>
  <c r="L34" i="12"/>
  <c r="M39" i="12"/>
  <c r="M45" i="12"/>
  <c r="N4" i="12" s="1"/>
  <c r="O4" i="12" s="1"/>
  <c r="L43" i="12"/>
  <c r="BB40" i="12"/>
  <c r="BG14" i="12"/>
  <c r="BB41" i="12"/>
  <c r="AZ37" i="12"/>
  <c r="BA37" i="12"/>
  <c r="AY37" i="12"/>
  <c r="BG7" i="12"/>
  <c r="BF8" i="12"/>
  <c r="BE8" i="12"/>
  <c r="BD8" i="12"/>
  <c r="BB42" i="12"/>
  <c r="BG6" i="12"/>
  <c r="M8" i="11"/>
  <c r="BD8" i="11" s="1"/>
  <c r="L37" i="11"/>
  <c r="BB30" i="11"/>
  <c r="BE7" i="11"/>
  <c r="BF7" i="11"/>
  <c r="BD7" i="11"/>
  <c r="BF6" i="11"/>
  <c r="BE6" i="11"/>
  <c r="BD6" i="11"/>
  <c r="BE14" i="11"/>
  <c r="BF14" i="11"/>
  <c r="BD14" i="11"/>
  <c r="K47" i="11"/>
  <c r="AW49" i="11"/>
  <c r="K49" i="11" s="1"/>
  <c r="AZ42" i="11"/>
  <c r="BA42" i="11"/>
  <c r="AY42" i="11"/>
  <c r="BD8" i="8"/>
  <c r="BD17" i="8" s="1"/>
  <c r="BF8" i="8"/>
  <c r="BG6" i="8"/>
  <c r="BG14" i="8"/>
  <c r="BA41" i="8"/>
  <c r="AY41" i="8"/>
  <c r="AZ41" i="8"/>
  <c r="AY37" i="8"/>
  <c r="BA37" i="8"/>
  <c r="AZ37" i="8"/>
  <c r="BB42" i="8"/>
  <c r="BG7" i="8"/>
  <c r="L43" i="8"/>
  <c r="M39" i="8"/>
  <c r="M45" i="8"/>
  <c r="L34" i="8"/>
  <c r="L33" i="8" s="1"/>
  <c r="AY40" i="8"/>
  <c r="BA40" i="8"/>
  <c r="AZ40" i="8"/>
  <c r="L41" i="7"/>
  <c r="L40" i="7"/>
  <c r="BA25" i="7"/>
  <c r="BB25" i="7" s="1"/>
  <c r="BA27" i="7"/>
  <c r="BB27" i="7" s="1"/>
  <c r="BA16" i="7"/>
  <c r="BB16" i="7" s="1"/>
  <c r="BA21" i="7"/>
  <c r="BA24" i="7"/>
  <c r="BB24" i="7" s="1"/>
  <c r="BA23" i="7"/>
  <c r="BB23" i="7" s="1"/>
  <c r="BB18" i="7"/>
  <c r="L18" i="7" s="1"/>
  <c r="BA28" i="7"/>
  <c r="BB28" i="7" s="1"/>
  <c r="BA22" i="7"/>
  <c r="BB22" i="7" s="1"/>
  <c r="BA26" i="7"/>
  <c r="BB26" i="7" s="1"/>
  <c r="AZ30" i="5"/>
  <c r="BA18" i="5"/>
  <c r="K47" i="5"/>
  <c r="AW49" i="5"/>
  <c r="K49" i="5" s="1"/>
  <c r="G39" i="1"/>
  <c r="AE18" i="1"/>
  <c r="AC47" i="1"/>
  <c r="Z49" i="1"/>
  <c r="K47" i="13" l="1"/>
  <c r="AW49" i="13"/>
  <c r="K49" i="13" s="1"/>
  <c r="BF6" i="13"/>
  <c r="BD6" i="13"/>
  <c r="BE6" i="13"/>
  <c r="BD7" i="13"/>
  <c r="BF7" i="13"/>
  <c r="BE7" i="13"/>
  <c r="L37" i="13"/>
  <c r="L30" i="13"/>
  <c r="M8" i="13"/>
  <c r="BF14" i="13"/>
  <c r="BE14" i="13"/>
  <c r="BD14" i="13"/>
  <c r="AY42" i="13"/>
  <c r="BA42" i="13"/>
  <c r="AZ42" i="13"/>
  <c r="L33" i="12"/>
  <c r="L36" i="12"/>
  <c r="L35" i="12"/>
  <c r="BB37" i="12"/>
  <c r="BD17" i="12"/>
  <c r="BG8" i="12"/>
  <c r="BG14" i="11"/>
  <c r="BE8" i="11"/>
  <c r="BF8" i="11"/>
  <c r="BG7" i="11"/>
  <c r="L30" i="11"/>
  <c r="BG6" i="11"/>
  <c r="L41" i="11"/>
  <c r="L40" i="11"/>
  <c r="BD17" i="11"/>
  <c r="BB42" i="11"/>
  <c r="BA37" i="11"/>
  <c r="AY37" i="11"/>
  <c r="AZ37" i="11"/>
  <c r="BG8" i="8"/>
  <c r="BB41" i="8"/>
  <c r="BF39" i="8"/>
  <c r="BE39" i="8"/>
  <c r="BD39" i="8"/>
  <c r="BF45" i="8"/>
  <c r="BE45" i="8"/>
  <c r="BD45" i="8"/>
  <c r="N4" i="8"/>
  <c r="AY43" i="8"/>
  <c r="BA43" i="8"/>
  <c r="AZ43" i="8"/>
  <c r="BB40" i="8"/>
  <c r="BD18" i="8"/>
  <c r="L36" i="8"/>
  <c r="L35" i="8"/>
  <c r="BA34" i="8"/>
  <c r="AZ34" i="8"/>
  <c r="AY34" i="8"/>
  <c r="BB37" i="8"/>
  <c r="BA40" i="7"/>
  <c r="AY40" i="7"/>
  <c r="AZ40" i="7"/>
  <c r="AZ41" i="7"/>
  <c r="AY41" i="7"/>
  <c r="BA41" i="7"/>
  <c r="L16" i="7"/>
  <c r="M14" i="7"/>
  <c r="L42" i="7"/>
  <c r="M7" i="7"/>
  <c r="M6" i="7"/>
  <c r="BA30" i="7"/>
  <c r="BB21" i="7"/>
  <c r="BA28" i="5"/>
  <c r="BB28" i="5" s="1"/>
  <c r="BA24" i="5"/>
  <c r="BB24" i="5" s="1"/>
  <c r="BA27" i="5"/>
  <c r="BB27" i="5" s="1"/>
  <c r="BA25" i="5"/>
  <c r="BB25" i="5" s="1"/>
  <c r="BA26" i="5"/>
  <c r="BB26" i="5" s="1"/>
  <c r="BA16" i="5"/>
  <c r="BB16" i="5" s="1"/>
  <c r="BA22" i="5"/>
  <c r="BB22" i="5" s="1"/>
  <c r="BB18" i="5"/>
  <c r="L18" i="5" s="1"/>
  <c r="BA23" i="5"/>
  <c r="BB23" i="5" s="1"/>
  <c r="BA21" i="5"/>
  <c r="L40" i="5"/>
  <c r="L41" i="5"/>
  <c r="AE22" i="1"/>
  <c r="AE28" i="1"/>
  <c r="AE27" i="1"/>
  <c r="AE23" i="1"/>
  <c r="AE26" i="1"/>
  <c r="AE25" i="1"/>
  <c r="AE16" i="1"/>
  <c r="AE24" i="1"/>
  <c r="AE21" i="1"/>
  <c r="AF17" i="1"/>
  <c r="AF18" i="1" s="1"/>
  <c r="F47" i="1"/>
  <c r="AC49" i="1"/>
  <c r="F49" i="1" s="1"/>
  <c r="AF39" i="1"/>
  <c r="AG39" i="1"/>
  <c r="AE39" i="1"/>
  <c r="BG14" i="13" l="1"/>
  <c r="BG7" i="13"/>
  <c r="BE8" i="13"/>
  <c r="BF8" i="13"/>
  <c r="BD8" i="13"/>
  <c r="L43" i="13"/>
  <c r="M45" i="13"/>
  <c r="M39" i="13"/>
  <c r="L34" i="13"/>
  <c r="BB42" i="13"/>
  <c r="BG6" i="13"/>
  <c r="AZ37" i="13"/>
  <c r="AY37" i="13"/>
  <c r="BA37" i="13"/>
  <c r="L41" i="13"/>
  <c r="L40" i="13"/>
  <c r="BD18" i="12"/>
  <c r="AY43" i="12"/>
  <c r="AZ43" i="12"/>
  <c r="BA43" i="12"/>
  <c r="BD39" i="12"/>
  <c r="BF39" i="12"/>
  <c r="BE39" i="12"/>
  <c r="AY34" i="12"/>
  <c r="BA34" i="12"/>
  <c r="AZ34" i="12"/>
  <c r="BF45" i="12"/>
  <c r="BE45" i="12"/>
  <c r="BD45" i="12"/>
  <c r="BG8" i="11"/>
  <c r="BB37" i="11"/>
  <c r="BA40" i="11"/>
  <c r="AZ40" i="11"/>
  <c r="AY40" i="11"/>
  <c r="BD18" i="11"/>
  <c r="AZ41" i="11"/>
  <c r="AY41" i="11"/>
  <c r="BA41" i="11"/>
  <c r="M45" i="11"/>
  <c r="L34" i="11"/>
  <c r="M39" i="11"/>
  <c r="L43" i="11"/>
  <c r="BG39" i="8"/>
  <c r="BG45" i="8"/>
  <c r="BB34" i="8"/>
  <c r="BK4" i="8"/>
  <c r="BI4" i="8"/>
  <c r="BJ4" i="8"/>
  <c r="O4" i="8"/>
  <c r="AZ35" i="8"/>
  <c r="BA35" i="8"/>
  <c r="AY35" i="8"/>
  <c r="BA36" i="8"/>
  <c r="AZ36" i="8"/>
  <c r="AY36" i="8"/>
  <c r="BB43" i="8"/>
  <c r="BD26" i="8"/>
  <c r="BD28" i="8"/>
  <c r="BD16" i="8"/>
  <c r="BD22" i="8"/>
  <c r="BD27" i="8"/>
  <c r="BD25" i="8"/>
  <c r="BD21" i="8"/>
  <c r="BD24" i="8"/>
  <c r="BD23" i="8"/>
  <c r="BE17" i="8"/>
  <c r="BE18" i="8" s="1"/>
  <c r="AY33" i="8"/>
  <c r="BA33" i="8"/>
  <c r="AZ33" i="8"/>
  <c r="BE7" i="7"/>
  <c r="BF7" i="7"/>
  <c r="BD7" i="7"/>
  <c r="BB40" i="7"/>
  <c r="AZ42" i="7"/>
  <c r="BA42" i="7"/>
  <c r="AY42" i="7"/>
  <c r="BD14" i="7"/>
  <c r="BF14" i="7"/>
  <c r="BE14" i="7"/>
  <c r="BB30" i="7"/>
  <c r="BB41" i="7"/>
  <c r="L37" i="7"/>
  <c r="M8" i="7"/>
  <c r="BE6" i="7"/>
  <c r="BF6" i="7"/>
  <c r="BD6" i="7"/>
  <c r="BA41" i="5"/>
  <c r="AZ41" i="5"/>
  <c r="AY41" i="5"/>
  <c r="AY40" i="5"/>
  <c r="BA40" i="5"/>
  <c r="AZ40" i="5"/>
  <c r="BA30" i="5"/>
  <c r="BB21" i="5"/>
  <c r="L42" i="5"/>
  <c r="M14" i="5"/>
  <c r="L16" i="5"/>
  <c r="M7" i="5"/>
  <c r="M6" i="5"/>
  <c r="AH39" i="1"/>
  <c r="AF27" i="1"/>
  <c r="AF16" i="1"/>
  <c r="AF25" i="1"/>
  <c r="AF24" i="1"/>
  <c r="AF22" i="1"/>
  <c r="AF21" i="1"/>
  <c r="AF26" i="1"/>
  <c r="AF28" i="1"/>
  <c r="AF23" i="1"/>
  <c r="AG17" i="1"/>
  <c r="AG18" i="1" s="1"/>
  <c r="G40" i="1"/>
  <c r="G41" i="1"/>
  <c r="AE30" i="1"/>
  <c r="AH17" i="1" l="1"/>
  <c r="G17" i="1" s="1"/>
  <c r="AY34" i="13"/>
  <c r="BA34" i="13"/>
  <c r="L33" i="13"/>
  <c r="L35" i="13"/>
  <c r="AZ34" i="13"/>
  <c r="L36" i="13"/>
  <c r="BF39" i="13"/>
  <c r="BD39" i="13"/>
  <c r="BE39" i="13"/>
  <c r="BE45" i="13"/>
  <c r="BD45" i="13"/>
  <c r="BF45" i="13"/>
  <c r="N4" i="13"/>
  <c r="BB37" i="13"/>
  <c r="AZ43" i="13"/>
  <c r="AY43" i="13"/>
  <c r="BA43" i="13"/>
  <c r="BD17" i="13"/>
  <c r="BG8" i="13"/>
  <c r="AZ40" i="13"/>
  <c r="AY40" i="13"/>
  <c r="BA40" i="13"/>
  <c r="AZ41" i="13"/>
  <c r="BA41" i="13"/>
  <c r="AY41" i="13"/>
  <c r="BG39" i="12"/>
  <c r="BA35" i="12"/>
  <c r="AZ35" i="12"/>
  <c r="AY35" i="12"/>
  <c r="AZ33" i="12"/>
  <c r="AY33" i="12"/>
  <c r="BA33" i="12"/>
  <c r="BB43" i="12"/>
  <c r="BK4" i="12"/>
  <c r="BI4" i="12"/>
  <c r="BJ4" i="12"/>
  <c r="BG45" i="12"/>
  <c r="AY36" i="12"/>
  <c r="BA36" i="12"/>
  <c r="AZ36" i="12"/>
  <c r="BD26" i="12"/>
  <c r="BD28" i="12"/>
  <c r="BD27" i="12"/>
  <c r="BD23" i="12"/>
  <c r="BD24" i="12"/>
  <c r="BD25" i="12"/>
  <c r="BD22" i="12"/>
  <c r="BD21" i="12"/>
  <c r="BD16" i="12"/>
  <c r="BE17" i="12"/>
  <c r="BE18" i="12" s="1"/>
  <c r="BB34" i="12"/>
  <c r="BB40" i="11"/>
  <c r="BD39" i="11"/>
  <c r="BF39" i="11"/>
  <c r="BE39" i="11"/>
  <c r="AZ34" i="11"/>
  <c r="L33" i="11"/>
  <c r="L36" i="11"/>
  <c r="L35" i="11"/>
  <c r="BA34" i="11"/>
  <c r="AY34" i="11"/>
  <c r="BE45" i="11"/>
  <c r="BD45" i="11"/>
  <c r="BF45" i="11"/>
  <c r="N4" i="11"/>
  <c r="BB41" i="11"/>
  <c r="BD26" i="11"/>
  <c r="BD27" i="11"/>
  <c r="BD28" i="11"/>
  <c r="BD25" i="11"/>
  <c r="BD23" i="11"/>
  <c r="BD16" i="11"/>
  <c r="BD22" i="11"/>
  <c r="BD24" i="11"/>
  <c r="BD21" i="11"/>
  <c r="BE17" i="11"/>
  <c r="AY43" i="11"/>
  <c r="AZ43" i="11"/>
  <c r="BA43" i="11"/>
  <c r="BG7" i="7"/>
  <c r="BG6" i="7"/>
  <c r="BA47" i="8"/>
  <c r="BA49" i="8" s="1"/>
  <c r="BB35" i="8"/>
  <c r="BB36" i="8"/>
  <c r="AZ47" i="8"/>
  <c r="AZ49" i="8" s="1"/>
  <c r="BL4" i="8"/>
  <c r="AY47" i="8"/>
  <c r="BB33" i="8"/>
  <c r="BE27" i="8"/>
  <c r="BE28" i="8"/>
  <c r="BE26" i="8"/>
  <c r="BE23" i="8"/>
  <c r="BE25" i="8"/>
  <c r="BE22" i="8"/>
  <c r="BE21" i="8"/>
  <c r="BE24" i="8"/>
  <c r="BE16" i="8"/>
  <c r="BF17" i="8"/>
  <c r="BG17" i="8" s="1"/>
  <c r="M17" i="8" s="1"/>
  <c r="BD30" i="8"/>
  <c r="M8" i="5"/>
  <c r="BF8" i="5" s="1"/>
  <c r="BB41" i="5"/>
  <c r="BB42" i="7"/>
  <c r="L30" i="7"/>
  <c r="BF8" i="7"/>
  <c r="BE8" i="7"/>
  <c r="BD8" i="7"/>
  <c r="AY37" i="7"/>
  <c r="AZ37" i="7"/>
  <c r="BA37" i="7"/>
  <c r="BG14" i="7"/>
  <c r="BA42" i="5"/>
  <c r="AZ42" i="5"/>
  <c r="AY42" i="5"/>
  <c r="L37" i="5"/>
  <c r="BE6" i="5"/>
  <c r="BD6" i="5"/>
  <c r="BF6" i="5"/>
  <c r="BB30" i="5"/>
  <c r="BB40" i="5"/>
  <c r="BE7" i="5"/>
  <c r="BD7" i="5"/>
  <c r="BF7" i="5"/>
  <c r="BF14" i="5"/>
  <c r="BE14" i="5"/>
  <c r="BD14" i="5"/>
  <c r="AG25" i="1"/>
  <c r="AH25" i="1" s="1"/>
  <c r="AG22" i="1"/>
  <c r="AH22" i="1" s="1"/>
  <c r="AG26" i="1"/>
  <c r="AH26" i="1" s="1"/>
  <c r="AG23" i="1"/>
  <c r="AH23" i="1" s="1"/>
  <c r="AG16" i="1"/>
  <c r="AH16" i="1" s="1"/>
  <c r="AG27" i="1"/>
  <c r="AH27" i="1" s="1"/>
  <c r="AG28" i="1"/>
  <c r="AH28" i="1" s="1"/>
  <c r="AH18" i="1"/>
  <c r="G18" i="1" s="1"/>
  <c r="AG24" i="1"/>
  <c r="AH24" i="1" s="1"/>
  <c r="AG21" i="1"/>
  <c r="AH21" i="1" s="1"/>
  <c r="AF41" i="1"/>
  <c r="AG41" i="1"/>
  <c r="AE41" i="1"/>
  <c r="AG40" i="1"/>
  <c r="AE40" i="1"/>
  <c r="AF40" i="1"/>
  <c r="AF30" i="1"/>
  <c r="AH41" i="1" l="1"/>
  <c r="BB41" i="13"/>
  <c r="BB40" i="13"/>
  <c r="BK4" i="13"/>
  <c r="BJ4" i="13"/>
  <c r="BI4" i="13"/>
  <c r="O4" i="13"/>
  <c r="AZ35" i="13"/>
  <c r="BA35" i="13"/>
  <c r="AY35" i="13"/>
  <c r="BG45" i="13"/>
  <c r="AZ33" i="13"/>
  <c r="BA33" i="13"/>
  <c r="AY33" i="13"/>
  <c r="BD18" i="13"/>
  <c r="BB34" i="13"/>
  <c r="BB43" i="13"/>
  <c r="BG39" i="13"/>
  <c r="AY36" i="13"/>
  <c r="BA36" i="13"/>
  <c r="AZ36" i="13"/>
  <c r="BB35" i="12"/>
  <c r="BA47" i="12"/>
  <c r="BA49" i="12" s="1"/>
  <c r="BE28" i="12"/>
  <c r="BE26" i="12"/>
  <c r="BE27" i="12"/>
  <c r="BE22" i="12"/>
  <c r="BE21" i="12"/>
  <c r="BE24" i="12"/>
  <c r="BE16" i="12"/>
  <c r="BE25" i="12"/>
  <c r="BE23" i="12"/>
  <c r="BF17" i="12"/>
  <c r="BG17" i="12" s="1"/>
  <c r="M17" i="12" s="1"/>
  <c r="BD30" i="12"/>
  <c r="BB36" i="12"/>
  <c r="AY47" i="12"/>
  <c r="BB33" i="12"/>
  <c r="AZ47" i="12"/>
  <c r="AZ49" i="12" s="1"/>
  <c r="BL4" i="12"/>
  <c r="AZ35" i="11"/>
  <c r="BA35" i="11"/>
  <c r="AY35" i="11"/>
  <c r="AZ36" i="11"/>
  <c r="AY36" i="11"/>
  <c r="BA36" i="11"/>
  <c r="BK4" i="11"/>
  <c r="BJ4" i="11"/>
  <c r="BI4" i="11"/>
  <c r="O4" i="11"/>
  <c r="BA33" i="11"/>
  <c r="AY33" i="11"/>
  <c r="AZ33" i="11"/>
  <c r="BB43" i="11"/>
  <c r="BG45" i="11"/>
  <c r="BE18" i="11"/>
  <c r="BD30" i="11"/>
  <c r="BB34" i="11"/>
  <c r="BG39" i="11"/>
  <c r="BB47" i="8"/>
  <c r="AY49" i="8"/>
  <c r="BE30" i="8"/>
  <c r="BF18" i="8"/>
  <c r="BD8" i="5"/>
  <c r="BD17" i="5" s="1"/>
  <c r="BE8" i="5"/>
  <c r="BG6" i="5"/>
  <c r="BG14" i="5"/>
  <c r="M45" i="7"/>
  <c r="L43" i="7"/>
  <c r="M39" i="7"/>
  <c r="L34" i="7"/>
  <c r="BB37" i="7"/>
  <c r="BD17" i="7"/>
  <c r="BG8" i="7"/>
  <c r="BG7" i="5"/>
  <c r="BA37" i="5"/>
  <c r="AZ37" i="5"/>
  <c r="AY37" i="5"/>
  <c r="L30" i="5"/>
  <c r="BB42" i="5"/>
  <c r="H14" i="1"/>
  <c r="G37" i="1"/>
  <c r="H6" i="1"/>
  <c r="H8" i="1" s="1"/>
  <c r="G16" i="1"/>
  <c r="G42" i="1"/>
  <c r="AG30" i="1"/>
  <c r="AH40" i="1"/>
  <c r="BL4" i="13" l="1"/>
  <c r="BB35" i="13"/>
  <c r="BD28" i="13"/>
  <c r="BD26" i="13"/>
  <c r="BD27" i="13"/>
  <c r="BD25" i="13"/>
  <c r="BD22" i="13"/>
  <c r="BD21" i="13"/>
  <c r="BD24" i="13"/>
  <c r="BD23" i="13"/>
  <c r="BD16" i="13"/>
  <c r="BE17" i="13"/>
  <c r="BB36" i="13"/>
  <c r="BB33" i="13"/>
  <c r="AY47" i="13"/>
  <c r="BA47" i="13"/>
  <c r="BA49" i="13" s="1"/>
  <c r="AZ47" i="13"/>
  <c r="AZ49" i="13" s="1"/>
  <c r="BF18" i="12"/>
  <c r="BE30" i="12"/>
  <c r="BB47" i="12"/>
  <c r="L47" i="12" s="1"/>
  <c r="AY49" i="12"/>
  <c r="BL4" i="11"/>
  <c r="BB35" i="11"/>
  <c r="AZ47" i="11"/>
  <c r="AZ49" i="11" s="1"/>
  <c r="AY47" i="11"/>
  <c r="BB33" i="11"/>
  <c r="BB36" i="11"/>
  <c r="BE27" i="11"/>
  <c r="BE26" i="11"/>
  <c r="BE23" i="11"/>
  <c r="BE16" i="11"/>
  <c r="BE25" i="11"/>
  <c r="BE22" i="11"/>
  <c r="BE24" i="11"/>
  <c r="BE21" i="11"/>
  <c r="BE28" i="11"/>
  <c r="BF17" i="11"/>
  <c r="BG17" i="11" s="1"/>
  <c r="M17" i="11" s="1"/>
  <c r="BA47" i="11"/>
  <c r="BA49" i="11" s="1"/>
  <c r="L47" i="8"/>
  <c r="BB49" i="8"/>
  <c r="L49" i="8" s="1"/>
  <c r="BF28" i="8"/>
  <c r="BG28" i="8" s="1"/>
  <c r="BF27" i="8"/>
  <c r="BG27" i="8" s="1"/>
  <c r="BG18" i="8"/>
  <c r="M18" i="8" s="1"/>
  <c r="BF25" i="8"/>
  <c r="BG25" i="8" s="1"/>
  <c r="BF21" i="8"/>
  <c r="BF24" i="8"/>
  <c r="BG24" i="8" s="1"/>
  <c r="BF26" i="8"/>
  <c r="BG26" i="8" s="1"/>
  <c r="BF23" i="8"/>
  <c r="BG23" i="8" s="1"/>
  <c r="BF22" i="8"/>
  <c r="BG22" i="8" s="1"/>
  <c r="BF16" i="8"/>
  <c r="BG16" i="8" s="1"/>
  <c r="BG8" i="5"/>
  <c r="BB37" i="5"/>
  <c r="L33" i="7"/>
  <c r="L35" i="7"/>
  <c r="BA34" i="7"/>
  <c r="AZ34" i="7"/>
  <c r="L36" i="7"/>
  <c r="AY34" i="7"/>
  <c r="BD39" i="7"/>
  <c r="BE39" i="7"/>
  <c r="BF39" i="7"/>
  <c r="AY43" i="7"/>
  <c r="AZ43" i="7"/>
  <c r="BA43" i="7"/>
  <c r="BF45" i="7"/>
  <c r="BE45" i="7"/>
  <c r="BD45" i="7"/>
  <c r="N4" i="7"/>
  <c r="BD18" i="7"/>
  <c r="BD18" i="5"/>
  <c r="M39" i="5"/>
  <c r="M45" i="5"/>
  <c r="L43" i="5"/>
  <c r="L34" i="5"/>
  <c r="AJ6" i="1"/>
  <c r="AK6" i="1"/>
  <c r="AL6" i="1"/>
  <c r="AJ14" i="1"/>
  <c r="AK14" i="1"/>
  <c r="AL14" i="1"/>
  <c r="AE37" i="1"/>
  <c r="AF37" i="1"/>
  <c r="AG37" i="1"/>
  <c r="AH30" i="1"/>
  <c r="AG42" i="1"/>
  <c r="AE42" i="1"/>
  <c r="AF42" i="1"/>
  <c r="BE18" i="13" l="1"/>
  <c r="BB47" i="13"/>
  <c r="AY49" i="13"/>
  <c r="BD30" i="13"/>
  <c r="BF27" i="12"/>
  <c r="BG27" i="12" s="1"/>
  <c r="BF28" i="12"/>
  <c r="BG28" i="12" s="1"/>
  <c r="BF24" i="12"/>
  <c r="BG24" i="12" s="1"/>
  <c r="BF16" i="12"/>
  <c r="BG16" i="12" s="1"/>
  <c r="BF25" i="12"/>
  <c r="BG25" i="12" s="1"/>
  <c r="BF22" i="12"/>
  <c r="BG22" i="12" s="1"/>
  <c r="BF21" i="12"/>
  <c r="BF26" i="12"/>
  <c r="BG26" i="12" s="1"/>
  <c r="BF23" i="12"/>
  <c r="BG23" i="12" s="1"/>
  <c r="BG18" i="12"/>
  <c r="M18" i="12" s="1"/>
  <c r="BB49" i="12"/>
  <c r="L49" i="12" s="1"/>
  <c r="BB47" i="11"/>
  <c r="AY49" i="11"/>
  <c r="BF18" i="11"/>
  <c r="BE30" i="11"/>
  <c r="BB34" i="7"/>
  <c r="BG39" i="7"/>
  <c r="M42" i="8"/>
  <c r="M16" i="8"/>
  <c r="N6" i="8"/>
  <c r="N7" i="8"/>
  <c r="N14" i="8"/>
  <c r="O14" i="8" s="1"/>
  <c r="M41" i="8"/>
  <c r="M40" i="8"/>
  <c r="BF30" i="8"/>
  <c r="BG21" i="8"/>
  <c r="BG45" i="7"/>
  <c r="AZ36" i="7"/>
  <c r="BA36" i="7"/>
  <c r="AY36" i="7"/>
  <c r="BB43" i="7"/>
  <c r="AY35" i="7"/>
  <c r="BA35" i="7"/>
  <c r="AZ35" i="7"/>
  <c r="AZ33" i="7"/>
  <c r="BA33" i="7"/>
  <c r="AY33" i="7"/>
  <c r="BD26" i="7"/>
  <c r="BD24" i="7"/>
  <c r="BD25" i="7"/>
  <c r="BD23" i="7"/>
  <c r="BD22" i="7"/>
  <c r="BD28" i="7"/>
  <c r="BD27" i="7"/>
  <c r="BD16" i="7"/>
  <c r="BD21" i="7"/>
  <c r="BE17" i="7"/>
  <c r="BK4" i="7"/>
  <c r="BJ4" i="7"/>
  <c r="BI4" i="7"/>
  <c r="O4" i="7"/>
  <c r="L36" i="5"/>
  <c r="AY34" i="5"/>
  <c r="L35" i="5"/>
  <c r="BA34" i="5"/>
  <c r="AZ34" i="5"/>
  <c r="L33" i="5"/>
  <c r="BA43" i="5"/>
  <c r="AZ43" i="5"/>
  <c r="AY43" i="5"/>
  <c r="BE39" i="5"/>
  <c r="BD39" i="5"/>
  <c r="BF39" i="5"/>
  <c r="BF45" i="5"/>
  <c r="BE45" i="5"/>
  <c r="BD45" i="5"/>
  <c r="N4" i="5"/>
  <c r="BD27" i="5"/>
  <c r="BD25" i="5"/>
  <c r="BD26" i="5"/>
  <c r="BD22" i="5"/>
  <c r="BD21" i="5"/>
  <c r="BD28" i="5"/>
  <c r="BD23" i="5"/>
  <c r="BD24" i="5"/>
  <c r="BD16" i="5"/>
  <c r="BE17" i="5"/>
  <c r="BE18" i="5" s="1"/>
  <c r="AM14" i="1"/>
  <c r="AG47" i="1"/>
  <c r="AG49" i="1" s="1"/>
  <c r="AF47" i="1"/>
  <c r="AF49" i="1" s="1"/>
  <c r="AH42" i="1"/>
  <c r="AK8" i="1"/>
  <c r="AJ8" i="1"/>
  <c r="AL8" i="1"/>
  <c r="AE47" i="1"/>
  <c r="AH37" i="1"/>
  <c r="G30" i="1"/>
  <c r="AM6" i="1"/>
  <c r="L47" i="13" l="1"/>
  <c r="BB49" i="13"/>
  <c r="L49" i="13" s="1"/>
  <c r="BE25" i="13"/>
  <c r="BE27" i="13"/>
  <c r="BE16" i="13"/>
  <c r="BE26" i="13"/>
  <c r="BE22" i="13"/>
  <c r="BE21" i="13"/>
  <c r="BE28" i="13"/>
  <c r="BE23" i="13"/>
  <c r="BE24" i="13"/>
  <c r="BF17" i="13"/>
  <c r="BG17" i="13" s="1"/>
  <c r="M17" i="13" s="1"/>
  <c r="M40" i="12"/>
  <c r="M41" i="12"/>
  <c r="N7" i="12"/>
  <c r="O7" i="12" s="1"/>
  <c r="M42" i="12"/>
  <c r="N6" i="12"/>
  <c r="O6" i="12" s="1"/>
  <c r="M16" i="12"/>
  <c r="N14" i="12"/>
  <c r="O14" i="12" s="1"/>
  <c r="BF30" i="12"/>
  <c r="BG21" i="12"/>
  <c r="BF24" i="11"/>
  <c r="BG24" i="11" s="1"/>
  <c r="BF22" i="11"/>
  <c r="BG22" i="11" s="1"/>
  <c r="BF21" i="11"/>
  <c r="BF26" i="11"/>
  <c r="BG26" i="11" s="1"/>
  <c r="BF23" i="11"/>
  <c r="BG23" i="11" s="1"/>
  <c r="BF16" i="11"/>
  <c r="BG16" i="11" s="1"/>
  <c r="BF25" i="11"/>
  <c r="BG25" i="11" s="1"/>
  <c r="BF28" i="11"/>
  <c r="BG28" i="11" s="1"/>
  <c r="BG18" i="11"/>
  <c r="M18" i="11" s="1"/>
  <c r="BF27" i="11"/>
  <c r="BG27" i="11" s="1"/>
  <c r="L47" i="11"/>
  <c r="BB49" i="11"/>
  <c r="L49" i="11" s="1"/>
  <c r="BB36" i="7"/>
  <c r="BL4" i="7"/>
  <c r="BB35" i="7"/>
  <c r="BE40" i="8"/>
  <c r="BF40" i="8"/>
  <c r="BD40" i="8"/>
  <c r="BI7" i="8"/>
  <c r="BK7" i="8"/>
  <c r="BJ7" i="8"/>
  <c r="O7" i="8"/>
  <c r="BK14" i="8"/>
  <c r="BJ14" i="8"/>
  <c r="BI14" i="8"/>
  <c r="BF41" i="8"/>
  <c r="BE41" i="8"/>
  <c r="BD41" i="8"/>
  <c r="BK6" i="8"/>
  <c r="BJ6" i="8"/>
  <c r="BI6" i="8"/>
  <c r="O6" i="8"/>
  <c r="N8" i="8"/>
  <c r="M37" i="8"/>
  <c r="BF42" i="8"/>
  <c r="BE42" i="8"/>
  <c r="BD42" i="8"/>
  <c r="BG30" i="8"/>
  <c r="BG39" i="5"/>
  <c r="BB43" i="5"/>
  <c r="BE18" i="7"/>
  <c r="BD30" i="7"/>
  <c r="AY47" i="7"/>
  <c r="BB33" i="7"/>
  <c r="BA47" i="7"/>
  <c r="BA49" i="7" s="1"/>
  <c r="AZ47" i="7"/>
  <c r="AZ49" i="7" s="1"/>
  <c r="AY36" i="5"/>
  <c r="BA36" i="5"/>
  <c r="AZ36" i="5"/>
  <c r="BI4" i="5"/>
  <c r="BJ4" i="5"/>
  <c r="BK4" i="5"/>
  <c r="O4" i="5"/>
  <c r="BG45" i="5"/>
  <c r="BD30" i="5"/>
  <c r="AY33" i="5"/>
  <c r="BA33" i="5"/>
  <c r="AZ33" i="5"/>
  <c r="BE26" i="5"/>
  <c r="BE22" i="5"/>
  <c r="BE23" i="5"/>
  <c r="BE28" i="5"/>
  <c r="BE24" i="5"/>
  <c r="BE21" i="5"/>
  <c r="BE27" i="5"/>
  <c r="BE25" i="5"/>
  <c r="BE16" i="5"/>
  <c r="BF17" i="5"/>
  <c r="BF18" i="5" s="1"/>
  <c r="BA35" i="5"/>
  <c r="AZ35" i="5"/>
  <c r="AY35" i="5"/>
  <c r="BB34" i="5"/>
  <c r="AH47" i="1"/>
  <c r="AE49" i="1"/>
  <c r="AJ17" i="1"/>
  <c r="AM8" i="1"/>
  <c r="H45" i="1"/>
  <c r="H39" i="1"/>
  <c r="M41" i="13" l="1"/>
  <c r="M40" i="13"/>
  <c r="BE30" i="13"/>
  <c r="BF18" i="13"/>
  <c r="N8" i="12"/>
  <c r="O8" i="12" s="1"/>
  <c r="M37" i="12"/>
  <c r="BI14" i="12"/>
  <c r="BJ14" i="12"/>
  <c r="BK14" i="12"/>
  <c r="BF40" i="12"/>
  <c r="BD40" i="12"/>
  <c r="BE40" i="12"/>
  <c r="BJ7" i="12"/>
  <c r="BI7" i="12"/>
  <c r="BK7" i="12"/>
  <c r="BD41" i="12"/>
  <c r="BE41" i="12"/>
  <c r="BF41" i="12"/>
  <c r="BK6" i="12"/>
  <c r="BI6" i="12"/>
  <c r="BJ6" i="12"/>
  <c r="BF42" i="12"/>
  <c r="BE42" i="12"/>
  <c r="BD42" i="12"/>
  <c r="BG30" i="12"/>
  <c r="M30" i="12" s="1"/>
  <c r="M41" i="11"/>
  <c r="M40" i="11"/>
  <c r="BF30" i="11"/>
  <c r="BG21" i="11"/>
  <c r="M16" i="11"/>
  <c r="M42" i="11"/>
  <c r="N14" i="11"/>
  <c r="O14" i="11" s="1"/>
  <c r="N6" i="11"/>
  <c r="N7" i="11"/>
  <c r="BG42" i="8"/>
  <c r="BG41" i="8"/>
  <c r="BG40" i="8"/>
  <c r="BJ8" i="8"/>
  <c r="BK8" i="8"/>
  <c r="BI8" i="8"/>
  <c r="O8" i="8"/>
  <c r="M30" i="8"/>
  <c r="BL7" i="8"/>
  <c r="BD37" i="8"/>
  <c r="BF37" i="8"/>
  <c r="BE37" i="8"/>
  <c r="BL14" i="8"/>
  <c r="BL6" i="8"/>
  <c r="BG17" i="5"/>
  <c r="M17" i="5" s="1"/>
  <c r="BB47" i="7"/>
  <c r="AY49" i="7"/>
  <c r="BE27" i="7"/>
  <c r="BE24" i="7"/>
  <c r="BE16" i="7"/>
  <c r="BE28" i="7"/>
  <c r="BE26" i="7"/>
  <c r="BE22" i="7"/>
  <c r="BE21" i="7"/>
  <c r="BE25" i="7"/>
  <c r="BE23" i="7"/>
  <c r="BF17" i="7"/>
  <c r="BG17" i="7" s="1"/>
  <c r="M17" i="7" s="1"/>
  <c r="AZ47" i="5"/>
  <c r="AZ49" i="5" s="1"/>
  <c r="BE30" i="5"/>
  <c r="BA47" i="5"/>
  <c r="BA49" i="5" s="1"/>
  <c r="BF26" i="5"/>
  <c r="BG26" i="5" s="1"/>
  <c r="BF22" i="5"/>
  <c r="BG22" i="5" s="1"/>
  <c r="BF23" i="5"/>
  <c r="BG23" i="5" s="1"/>
  <c r="BG18" i="5"/>
  <c r="M18" i="5" s="1"/>
  <c r="BF21" i="5"/>
  <c r="BF28" i="5"/>
  <c r="BG28" i="5" s="1"/>
  <c r="BF24" i="5"/>
  <c r="BG24" i="5" s="1"/>
  <c r="BF27" i="5"/>
  <c r="BG27" i="5" s="1"/>
  <c r="BF25" i="5"/>
  <c r="BG25" i="5" s="1"/>
  <c r="BF16" i="5"/>
  <c r="BG16" i="5" s="1"/>
  <c r="AY47" i="5"/>
  <c r="BB33" i="5"/>
  <c r="BL4" i="5"/>
  <c r="BB35" i="5"/>
  <c r="BB36" i="5"/>
  <c r="AK45" i="1"/>
  <c r="AL45" i="1"/>
  <c r="AJ45" i="1"/>
  <c r="I4" i="1"/>
  <c r="AJ18" i="1"/>
  <c r="AK39" i="1"/>
  <c r="AL39" i="1"/>
  <c r="AJ39" i="1"/>
  <c r="G47" i="1"/>
  <c r="AH49" i="1"/>
  <c r="G49" i="1" s="1"/>
  <c r="BK8" i="12" l="1"/>
  <c r="BF27" i="13"/>
  <c r="BG27" i="13" s="1"/>
  <c r="BF26" i="13"/>
  <c r="BG26" i="13" s="1"/>
  <c r="BF24" i="13"/>
  <c r="BG24" i="13" s="1"/>
  <c r="BF23" i="13"/>
  <c r="BG23" i="13" s="1"/>
  <c r="BF28" i="13"/>
  <c r="BG28" i="13" s="1"/>
  <c r="BF22" i="13"/>
  <c r="BG22" i="13" s="1"/>
  <c r="BF21" i="13"/>
  <c r="BF25" i="13"/>
  <c r="BG25" i="13" s="1"/>
  <c r="BG18" i="13"/>
  <c r="M18" i="13" s="1"/>
  <c r="BF16" i="13"/>
  <c r="BG16" i="13" s="1"/>
  <c r="BE41" i="13"/>
  <c r="BD41" i="13"/>
  <c r="BF41" i="13"/>
  <c r="BE40" i="13"/>
  <c r="BF40" i="13"/>
  <c r="BD40" i="13"/>
  <c r="M34" i="12"/>
  <c r="N39" i="12"/>
  <c r="N45" i="12"/>
  <c r="P4" i="12" s="1"/>
  <c r="M43" i="12"/>
  <c r="BJ8" i="12"/>
  <c r="BI8" i="12"/>
  <c r="BI17" i="12" s="1"/>
  <c r="BG41" i="12"/>
  <c r="BG42" i="12"/>
  <c r="BL7" i="12"/>
  <c r="BL6" i="12"/>
  <c r="BE37" i="12"/>
  <c r="BF37" i="12"/>
  <c r="BD37" i="12"/>
  <c r="BG40" i="12"/>
  <c r="BL14" i="12"/>
  <c r="N8" i="11"/>
  <c r="BK8" i="11" s="1"/>
  <c r="BI7" i="11"/>
  <c r="BJ7" i="11"/>
  <c r="BK7" i="11"/>
  <c r="O7" i="11"/>
  <c r="BK6" i="11"/>
  <c r="BJ6" i="11"/>
  <c r="BI6" i="11"/>
  <c r="O6" i="11"/>
  <c r="BI14" i="11"/>
  <c r="BJ14" i="11"/>
  <c r="BK14" i="11"/>
  <c r="BF42" i="11"/>
  <c r="BE42" i="11"/>
  <c r="BD42" i="11"/>
  <c r="BF40" i="11"/>
  <c r="BD40" i="11"/>
  <c r="BE40" i="11"/>
  <c r="M37" i="11"/>
  <c r="BD41" i="11"/>
  <c r="BE41" i="11"/>
  <c r="BF41" i="11"/>
  <c r="BG30" i="11"/>
  <c r="BF18" i="7"/>
  <c r="BF26" i="7" s="1"/>
  <c r="BG26" i="7" s="1"/>
  <c r="M43" i="8"/>
  <c r="N45" i="8"/>
  <c r="M34" i="8"/>
  <c r="M33" i="8" s="1"/>
  <c r="N39" i="8"/>
  <c r="BG37" i="8"/>
  <c r="BI17" i="8"/>
  <c r="BL8" i="8"/>
  <c r="BE30" i="7"/>
  <c r="L47" i="7"/>
  <c r="BB49" i="7"/>
  <c r="L49" i="7" s="1"/>
  <c r="BF30" i="5"/>
  <c r="BG21" i="5"/>
  <c r="BB47" i="5"/>
  <c r="AY49" i="5"/>
  <c r="M42" i="5"/>
  <c r="M16" i="5"/>
  <c r="N14" i="5"/>
  <c r="O14" i="5" s="1"/>
  <c r="N7" i="5"/>
  <c r="N6" i="5"/>
  <c r="AP4" i="1"/>
  <c r="AO4" i="1"/>
  <c r="AQ4" i="1"/>
  <c r="AM45" i="1"/>
  <c r="AJ16" i="1"/>
  <c r="AJ21" i="1"/>
  <c r="AK17" i="1"/>
  <c r="J4" i="1"/>
  <c r="H40" i="1"/>
  <c r="H41" i="1"/>
  <c r="AM39" i="1"/>
  <c r="BG40" i="13" l="1"/>
  <c r="BF30" i="13"/>
  <c r="BG21" i="13"/>
  <c r="BG41" i="13"/>
  <c r="M42" i="13"/>
  <c r="M16" i="13"/>
  <c r="N6" i="13"/>
  <c r="N14" i="13"/>
  <c r="N7" i="13"/>
  <c r="BG42" i="11"/>
  <c r="M33" i="12"/>
  <c r="M36" i="12"/>
  <c r="M35" i="12"/>
  <c r="BL8" i="12"/>
  <c r="BG37" i="12"/>
  <c r="BI18" i="12"/>
  <c r="BL6" i="11"/>
  <c r="BJ8" i="11"/>
  <c r="O8" i="11"/>
  <c r="BI8" i="11"/>
  <c r="BI17" i="11"/>
  <c r="BG40" i="11"/>
  <c r="BL14" i="11"/>
  <c r="M30" i="11"/>
  <c r="BE37" i="11"/>
  <c r="BF37" i="11"/>
  <c r="BD37" i="11"/>
  <c r="BG41" i="11"/>
  <c r="BL7" i="11"/>
  <c r="BG18" i="7"/>
  <c r="M18" i="7" s="1"/>
  <c r="N6" i="7" s="1"/>
  <c r="BF23" i="7"/>
  <c r="BG23" i="7" s="1"/>
  <c r="BF24" i="7"/>
  <c r="BG24" i="7" s="1"/>
  <c r="BF16" i="7"/>
  <c r="BG16" i="7" s="1"/>
  <c r="BF21" i="7"/>
  <c r="BG21" i="7" s="1"/>
  <c r="M37" i="7" s="1"/>
  <c r="BF27" i="7"/>
  <c r="BG27" i="7" s="1"/>
  <c r="BF22" i="7"/>
  <c r="BG22" i="7" s="1"/>
  <c r="BF25" i="7"/>
  <c r="BG25" i="7" s="1"/>
  <c r="BF28" i="7"/>
  <c r="BG28" i="7" s="1"/>
  <c r="BJ39" i="8"/>
  <c r="BK39" i="8"/>
  <c r="BI39" i="8"/>
  <c r="M35" i="8"/>
  <c r="BF34" i="8"/>
  <c r="M36" i="8"/>
  <c r="BE34" i="8"/>
  <c r="BD34" i="8"/>
  <c r="BF43" i="8"/>
  <c r="BE43" i="8"/>
  <c r="BD43" i="8"/>
  <c r="BI45" i="8"/>
  <c r="BK45" i="8"/>
  <c r="BJ45" i="8"/>
  <c r="P4" i="8"/>
  <c r="BI18" i="8"/>
  <c r="N8" i="5"/>
  <c r="BK8" i="5" s="1"/>
  <c r="M41" i="7"/>
  <c r="M40" i="7"/>
  <c r="BF42" i="5"/>
  <c r="BE42" i="5"/>
  <c r="BD42" i="5"/>
  <c r="L47" i="5"/>
  <c r="BB49" i="5"/>
  <c r="L49" i="5" s="1"/>
  <c r="M37" i="5"/>
  <c r="BI6" i="5"/>
  <c r="BK6" i="5"/>
  <c r="BJ6" i="5"/>
  <c r="O6" i="5"/>
  <c r="BK7" i="5"/>
  <c r="BJ7" i="5"/>
  <c r="BI7" i="5"/>
  <c r="O7" i="5"/>
  <c r="BG30" i="5"/>
  <c r="BJ14" i="5"/>
  <c r="BI14" i="5"/>
  <c r="BK14" i="5"/>
  <c r="AJ40" i="1"/>
  <c r="AK40" i="1"/>
  <c r="AL40" i="1"/>
  <c r="AK18" i="1"/>
  <c r="AK41" i="1"/>
  <c r="AL41" i="1"/>
  <c r="AJ41" i="1"/>
  <c r="AJ24" i="1"/>
  <c r="BI7" i="13" l="1"/>
  <c r="BK7" i="13"/>
  <c r="BJ7" i="13"/>
  <c r="O7" i="13"/>
  <c r="BK14" i="13"/>
  <c r="BJ14" i="13"/>
  <c r="BI14" i="13"/>
  <c r="O14" i="13"/>
  <c r="BK6" i="13"/>
  <c r="BJ6" i="13"/>
  <c r="BI6" i="13"/>
  <c r="O6" i="13"/>
  <c r="N8" i="13"/>
  <c r="BF42" i="13"/>
  <c r="BD42" i="13"/>
  <c r="BE42" i="13"/>
  <c r="M37" i="13"/>
  <c r="BG30" i="13"/>
  <c r="BI39" i="12"/>
  <c r="BJ39" i="12"/>
  <c r="BK39" i="12"/>
  <c r="BI45" i="12"/>
  <c r="BK45" i="12"/>
  <c r="BJ45" i="12"/>
  <c r="BE43" i="12"/>
  <c r="BD43" i="12"/>
  <c r="BF43" i="12"/>
  <c r="BD34" i="12"/>
  <c r="BF34" i="12"/>
  <c r="BE34" i="12"/>
  <c r="BI28" i="12"/>
  <c r="BI27" i="12"/>
  <c r="BI26" i="12"/>
  <c r="BI25" i="12"/>
  <c r="BI22" i="12"/>
  <c r="BI21" i="12"/>
  <c r="BI23" i="12"/>
  <c r="BI16" i="12"/>
  <c r="BI24" i="12"/>
  <c r="BJ17" i="12"/>
  <c r="BJ18" i="12" s="1"/>
  <c r="BL8" i="11"/>
  <c r="BG37" i="11"/>
  <c r="M43" i="11"/>
  <c r="N39" i="11"/>
  <c r="N45" i="11"/>
  <c r="M34" i="11"/>
  <c r="BI18" i="11"/>
  <c r="N7" i="7"/>
  <c r="O7" i="7" s="1"/>
  <c r="M42" i="7"/>
  <c r="BF42" i="7" s="1"/>
  <c r="N14" i="7"/>
  <c r="M16" i="7"/>
  <c r="BF30" i="7"/>
  <c r="BG30" i="7" s="1"/>
  <c r="BG43" i="8"/>
  <c r="BD33" i="8"/>
  <c r="BE33" i="8"/>
  <c r="BF33" i="8"/>
  <c r="BL45" i="8"/>
  <c r="O45" i="8" s="1"/>
  <c r="BE35" i="8"/>
  <c r="BD35" i="8"/>
  <c r="BF35" i="8"/>
  <c r="BL39" i="8"/>
  <c r="O39" i="8" s="1"/>
  <c r="BG34" i="8"/>
  <c r="BF36" i="8"/>
  <c r="BD36" i="8"/>
  <c r="BE36" i="8"/>
  <c r="BI27" i="8"/>
  <c r="BI25" i="8"/>
  <c r="BI21" i="8"/>
  <c r="BI24" i="8"/>
  <c r="BI23" i="8"/>
  <c r="BI26" i="8"/>
  <c r="BI16" i="8"/>
  <c r="BI22" i="8"/>
  <c r="BI28" i="8"/>
  <c r="BJ17" i="8"/>
  <c r="BP4" i="8"/>
  <c r="BO4" i="8"/>
  <c r="BN4" i="8"/>
  <c r="BI8" i="5"/>
  <c r="O8" i="5"/>
  <c r="BJ8" i="5"/>
  <c r="BL14" i="5"/>
  <c r="BF37" i="7"/>
  <c r="BE37" i="7"/>
  <c r="BD37" i="7"/>
  <c r="BF40" i="7"/>
  <c r="BE40" i="7"/>
  <c r="BD40" i="7"/>
  <c r="BD41" i="7"/>
  <c r="BE41" i="7"/>
  <c r="BF41" i="7"/>
  <c r="BK6" i="7"/>
  <c r="BJ6" i="7"/>
  <c r="BI6" i="7"/>
  <c r="O6" i="7"/>
  <c r="M41" i="5"/>
  <c r="M40" i="5"/>
  <c r="BG42" i="5"/>
  <c r="BL6" i="5"/>
  <c r="M30" i="5"/>
  <c r="BL7" i="5"/>
  <c r="BF37" i="5"/>
  <c r="BE37" i="5"/>
  <c r="BD37" i="5"/>
  <c r="AK16" i="1"/>
  <c r="AK21" i="1"/>
  <c r="AL17" i="1"/>
  <c r="AM17" i="1" s="1"/>
  <c r="H17" i="1" s="1"/>
  <c r="AM40" i="1"/>
  <c r="AM41" i="1"/>
  <c r="AJ27" i="1"/>
  <c r="BL14" i="13" l="1"/>
  <c r="BL6" i="13"/>
  <c r="BG42" i="13"/>
  <c r="BJ8" i="13"/>
  <c r="BI8" i="13"/>
  <c r="BK8" i="13"/>
  <c r="O8" i="13"/>
  <c r="M30" i="13"/>
  <c r="BF37" i="13"/>
  <c r="BE37" i="13"/>
  <c r="BD37" i="13"/>
  <c r="BL7" i="13"/>
  <c r="BK14" i="7"/>
  <c r="O14" i="7"/>
  <c r="BG34" i="12"/>
  <c r="BJ28" i="12"/>
  <c r="BJ26" i="12"/>
  <c r="BJ24" i="12"/>
  <c r="BJ25" i="12"/>
  <c r="BJ22" i="12"/>
  <c r="BJ21" i="12"/>
  <c r="BJ27" i="12"/>
  <c r="BJ23" i="12"/>
  <c r="BJ16" i="12"/>
  <c r="BK17" i="12"/>
  <c r="BL17" i="12" s="1"/>
  <c r="N17" i="12" s="1"/>
  <c r="BF35" i="12"/>
  <c r="BD35" i="12"/>
  <c r="BE35" i="12"/>
  <c r="BP4" i="12"/>
  <c r="BO4" i="12"/>
  <c r="BN4" i="12"/>
  <c r="BE36" i="12"/>
  <c r="BF36" i="12"/>
  <c r="BD36" i="12"/>
  <c r="BI30" i="12"/>
  <c r="BE33" i="12"/>
  <c r="BF33" i="12"/>
  <c r="BD33" i="12"/>
  <c r="BL45" i="12"/>
  <c r="O45" i="12" s="1"/>
  <c r="BG43" i="12"/>
  <c r="BL39" i="12"/>
  <c r="O39" i="12" s="1"/>
  <c r="BF34" i="11"/>
  <c r="M36" i="11"/>
  <c r="M33" i="11"/>
  <c r="M35" i="11"/>
  <c r="BD34" i="11"/>
  <c r="BE34" i="11"/>
  <c r="BI45" i="11"/>
  <c r="BJ45" i="11"/>
  <c r="BK45" i="11"/>
  <c r="P4" i="11"/>
  <c r="BI39" i="11"/>
  <c r="BJ39" i="11"/>
  <c r="BK39" i="11"/>
  <c r="BE43" i="11"/>
  <c r="BD43" i="11"/>
  <c r="BF43" i="11"/>
  <c r="BI28" i="11"/>
  <c r="BI27" i="11"/>
  <c r="BI25" i="11"/>
  <c r="BI23" i="11"/>
  <c r="BI22" i="11"/>
  <c r="BI26" i="11"/>
  <c r="BI21" i="11"/>
  <c r="BI24" i="11"/>
  <c r="BI16" i="11"/>
  <c r="BJ17" i="11"/>
  <c r="BK7" i="7"/>
  <c r="BI14" i="7"/>
  <c r="BJ14" i="7"/>
  <c r="BI7" i="7"/>
  <c r="BJ7" i="7"/>
  <c r="N8" i="7"/>
  <c r="BI8" i="7" s="1"/>
  <c r="BD42" i="7"/>
  <c r="BE42" i="7"/>
  <c r="BG40" i="7"/>
  <c r="BG41" i="7"/>
  <c r="BL6" i="7"/>
  <c r="BG37" i="7"/>
  <c r="BQ4" i="8"/>
  <c r="BG36" i="8"/>
  <c r="BI30" i="8"/>
  <c r="BJ18" i="8"/>
  <c r="BG35" i="8"/>
  <c r="BF47" i="8"/>
  <c r="BF49" i="8" s="1"/>
  <c r="BE47" i="8"/>
  <c r="BE49" i="8" s="1"/>
  <c r="BD47" i="8"/>
  <c r="BG33" i="8"/>
  <c r="BL8" i="5"/>
  <c r="BI17" i="5"/>
  <c r="BI18" i="5" s="1"/>
  <c r="M30" i="7"/>
  <c r="BF41" i="5"/>
  <c r="BE41" i="5"/>
  <c r="BD41" i="5"/>
  <c r="BG37" i="5"/>
  <c r="BD40" i="5"/>
  <c r="BE40" i="5"/>
  <c r="BF40" i="5"/>
  <c r="N45" i="5"/>
  <c r="M43" i="5"/>
  <c r="N39" i="5"/>
  <c r="M34" i="5"/>
  <c r="AJ30" i="1"/>
  <c r="AL18" i="1"/>
  <c r="AK24" i="1"/>
  <c r="BE47" i="12" l="1"/>
  <c r="BE49" i="12" s="1"/>
  <c r="N39" i="13"/>
  <c r="M43" i="13"/>
  <c r="M34" i="13"/>
  <c r="N45" i="13"/>
  <c r="BI17" i="13"/>
  <c r="BL8" i="13"/>
  <c r="BG37" i="13"/>
  <c r="BJ30" i="12"/>
  <c r="BG36" i="12"/>
  <c r="BG35" i="12"/>
  <c r="BD47" i="12"/>
  <c r="BG33" i="12"/>
  <c r="BK18" i="12"/>
  <c r="O18" i="12" s="1"/>
  <c r="O21" i="3" s="1"/>
  <c r="BF47" i="12"/>
  <c r="BF49" i="12" s="1"/>
  <c r="BQ4" i="12"/>
  <c r="BG43" i="11"/>
  <c r="BL45" i="11"/>
  <c r="O45" i="11" s="1"/>
  <c r="BG34" i="11"/>
  <c r="BD35" i="11"/>
  <c r="BE35" i="11"/>
  <c r="BF35" i="11"/>
  <c r="BL39" i="11"/>
  <c r="O39" i="11" s="1"/>
  <c r="BF33" i="11"/>
  <c r="BD33" i="11"/>
  <c r="BE33" i="11"/>
  <c r="BI30" i="11"/>
  <c r="BP4" i="11"/>
  <c r="BO4" i="11"/>
  <c r="BN4" i="11"/>
  <c r="BD36" i="11"/>
  <c r="BE36" i="11"/>
  <c r="BF36" i="11"/>
  <c r="BJ18" i="11"/>
  <c r="BL14" i="7"/>
  <c r="BJ8" i="7"/>
  <c r="BK8" i="7"/>
  <c r="BL7" i="7"/>
  <c r="O8" i="7"/>
  <c r="BG42" i="7"/>
  <c r="BJ27" i="8"/>
  <c r="BJ25" i="8"/>
  <c r="BJ23" i="8"/>
  <c r="BJ24" i="8"/>
  <c r="BJ26" i="8"/>
  <c r="BJ16" i="8"/>
  <c r="BJ22" i="8"/>
  <c r="BJ28" i="8"/>
  <c r="BJ21" i="8"/>
  <c r="BK17" i="8"/>
  <c r="BL17" i="8" s="1"/>
  <c r="N17" i="8" s="1"/>
  <c r="BG47" i="8"/>
  <c r="BD49" i="8"/>
  <c r="BI17" i="7"/>
  <c r="M43" i="7"/>
  <c r="N45" i="7"/>
  <c r="M34" i="7"/>
  <c r="N39" i="7"/>
  <c r="BG40" i="5"/>
  <c r="BI23" i="5"/>
  <c r="BI28" i="5"/>
  <c r="BI24" i="5"/>
  <c r="BI22" i="5"/>
  <c r="BI16" i="5"/>
  <c r="BI27" i="5"/>
  <c r="BI25" i="5"/>
  <c r="BI21" i="5"/>
  <c r="BI26" i="5"/>
  <c r="BJ17" i="5"/>
  <c r="BJ18" i="5" s="1"/>
  <c r="BD34" i="5"/>
  <c r="M35" i="5"/>
  <c r="BE34" i="5"/>
  <c r="M33" i="5"/>
  <c r="M36" i="5"/>
  <c r="BF34" i="5"/>
  <c r="BJ39" i="5"/>
  <c r="BK39" i="5"/>
  <c r="BI39" i="5"/>
  <c r="BK45" i="5"/>
  <c r="BJ45" i="5"/>
  <c r="BI45" i="5"/>
  <c r="P4" i="5"/>
  <c r="BG41" i="5"/>
  <c r="BF43" i="5"/>
  <c r="BE43" i="5"/>
  <c r="BD43" i="5"/>
  <c r="AK27" i="1"/>
  <c r="AK30" i="1" s="1"/>
  <c r="AM18" i="1"/>
  <c r="H18" i="1" s="1"/>
  <c r="AL16" i="1"/>
  <c r="AM16" i="1" s="1"/>
  <c r="AL21" i="1"/>
  <c r="BI18" i="13" l="1"/>
  <c r="BJ45" i="13"/>
  <c r="BI45" i="13"/>
  <c r="BK45" i="13"/>
  <c r="P4" i="13"/>
  <c r="M36" i="13"/>
  <c r="BE34" i="13"/>
  <c r="M35" i="13"/>
  <c r="BD34" i="13"/>
  <c r="M33" i="13"/>
  <c r="BF34" i="13"/>
  <c r="BE43" i="13"/>
  <c r="BD43" i="13"/>
  <c r="BF43" i="13"/>
  <c r="BK39" i="13"/>
  <c r="BI39" i="13"/>
  <c r="BJ39" i="13"/>
  <c r="O17" i="12"/>
  <c r="O16" i="12"/>
  <c r="BK28" i="12"/>
  <c r="BL28" i="12" s="1"/>
  <c r="O28" i="12" s="1"/>
  <c r="BK25" i="12"/>
  <c r="BL25" i="12" s="1"/>
  <c r="O25" i="12" s="1"/>
  <c r="BK26" i="12"/>
  <c r="BL26" i="12" s="1"/>
  <c r="O26" i="12" s="1"/>
  <c r="BK22" i="12"/>
  <c r="BL22" i="12" s="1"/>
  <c r="O22" i="12" s="1"/>
  <c r="BK21" i="12"/>
  <c r="BK23" i="12"/>
  <c r="BL23" i="12" s="1"/>
  <c r="O23" i="12" s="1"/>
  <c r="BK24" i="12"/>
  <c r="BL24" i="12" s="1"/>
  <c r="O24" i="12" s="1"/>
  <c r="BK16" i="12"/>
  <c r="BL16" i="12" s="1"/>
  <c r="BK27" i="12"/>
  <c r="BL27" i="12" s="1"/>
  <c r="O27" i="12" s="1"/>
  <c r="BL18" i="12"/>
  <c r="N18" i="12" s="1"/>
  <c r="BG47" i="12"/>
  <c r="M47" i="12" s="1"/>
  <c r="BD49" i="12"/>
  <c r="BQ4" i="11"/>
  <c r="BE47" i="11"/>
  <c r="BE49" i="11" s="1"/>
  <c r="BF47" i="11"/>
  <c r="BF49" i="11" s="1"/>
  <c r="BG36" i="11"/>
  <c r="BG35" i="11"/>
  <c r="BG33" i="11"/>
  <c r="BD47" i="11"/>
  <c r="BJ28" i="11"/>
  <c r="BJ27" i="11"/>
  <c r="BJ26" i="11"/>
  <c r="BJ25" i="11"/>
  <c r="BJ21" i="11"/>
  <c r="BJ24" i="11"/>
  <c r="BJ23" i="11"/>
  <c r="BJ16" i="11"/>
  <c r="BJ22" i="11"/>
  <c r="BK17" i="11"/>
  <c r="BL17" i="11" s="1"/>
  <c r="N17" i="11" s="1"/>
  <c r="BL8" i="7"/>
  <c r="BJ30" i="8"/>
  <c r="M47" i="8"/>
  <c r="BG49" i="8"/>
  <c r="M49" i="8" s="1"/>
  <c r="BK18" i="8"/>
  <c r="BL45" i="5"/>
  <c r="O45" i="5" s="1"/>
  <c r="BG43" i="5"/>
  <c r="BL39" i="5"/>
  <c r="O39" i="5" s="1"/>
  <c r="BG34" i="5"/>
  <c r="BI39" i="7"/>
  <c r="BK39" i="7"/>
  <c r="BJ39" i="7"/>
  <c r="BE43" i="7"/>
  <c r="BD43" i="7"/>
  <c r="BF43" i="7"/>
  <c r="BF34" i="7"/>
  <c r="BD34" i="7"/>
  <c r="M35" i="7"/>
  <c r="BE34" i="7"/>
  <c r="M36" i="7"/>
  <c r="M33" i="7"/>
  <c r="BI45" i="7"/>
  <c r="BK45" i="7"/>
  <c r="BJ45" i="7"/>
  <c r="P4" i="7"/>
  <c r="BI18" i="7"/>
  <c r="BE33" i="5"/>
  <c r="BD33" i="5"/>
  <c r="BF33" i="5"/>
  <c r="BF36" i="5"/>
  <c r="BE36" i="5"/>
  <c r="BD36" i="5"/>
  <c r="BF35" i="5"/>
  <c r="BE35" i="5"/>
  <c r="BD35" i="5"/>
  <c r="BJ28" i="5"/>
  <c r="BJ24" i="5"/>
  <c r="BJ27" i="5"/>
  <c r="BJ25" i="5"/>
  <c r="BJ26" i="5"/>
  <c r="BJ22" i="5"/>
  <c r="BJ16" i="5"/>
  <c r="BJ23" i="5"/>
  <c r="BJ21" i="5"/>
  <c r="BK17" i="5"/>
  <c r="BL17" i="5" s="1"/>
  <c r="N17" i="5" s="1"/>
  <c r="BP4" i="5"/>
  <c r="BN4" i="5"/>
  <c r="BO4" i="5"/>
  <c r="BI30" i="5"/>
  <c r="I14" i="1"/>
  <c r="J14" i="1" s="1"/>
  <c r="AL24" i="1"/>
  <c r="AM21" i="1"/>
  <c r="I6" i="1"/>
  <c r="I8" i="1" s="1"/>
  <c r="H16" i="1"/>
  <c r="H42" i="1"/>
  <c r="BE36" i="13" l="1"/>
  <c r="BF36" i="13"/>
  <c r="BD36" i="13"/>
  <c r="BG43" i="13"/>
  <c r="BP4" i="13"/>
  <c r="BO4" i="13"/>
  <c r="BN4" i="13"/>
  <c r="BL45" i="13"/>
  <c r="O45" i="13" s="1"/>
  <c r="BF33" i="13"/>
  <c r="BE33" i="13"/>
  <c r="BD33" i="13"/>
  <c r="BL39" i="13"/>
  <c r="O39" i="13" s="1"/>
  <c r="BG34" i="13"/>
  <c r="BI26" i="13"/>
  <c r="BI28" i="13"/>
  <c r="BI22" i="13"/>
  <c r="BI21" i="13"/>
  <c r="BI27" i="13"/>
  <c r="BI23" i="13"/>
  <c r="BI24" i="13"/>
  <c r="BI16" i="13"/>
  <c r="BI25" i="13"/>
  <c r="BJ17" i="13"/>
  <c r="BF35" i="13"/>
  <c r="BD35" i="13"/>
  <c r="BE35" i="13"/>
  <c r="BK18" i="11"/>
  <c r="BL18" i="11" s="1"/>
  <c r="P7" i="12"/>
  <c r="N42" i="12"/>
  <c r="P14" i="12"/>
  <c r="N16" i="12"/>
  <c r="P6" i="12"/>
  <c r="BG49" i="12"/>
  <c r="M49" i="12" s="1"/>
  <c r="BK30" i="12"/>
  <c r="BL21" i="12"/>
  <c r="O21" i="12" s="1"/>
  <c r="BG47" i="11"/>
  <c r="BD49" i="11"/>
  <c r="BJ30" i="11"/>
  <c r="BK28" i="8"/>
  <c r="BL28" i="8" s="1"/>
  <c r="O28" i="8" s="1"/>
  <c r="BK26" i="8"/>
  <c r="BL26" i="8" s="1"/>
  <c r="O26" i="8" s="1"/>
  <c r="BK27" i="8"/>
  <c r="BL27" i="8" s="1"/>
  <c r="O27" i="8" s="1"/>
  <c r="BK24" i="8"/>
  <c r="BL24" i="8" s="1"/>
  <c r="O24" i="8" s="1"/>
  <c r="BK23" i="8"/>
  <c r="BL23" i="8" s="1"/>
  <c r="O23" i="8" s="1"/>
  <c r="BK22" i="8"/>
  <c r="BL22" i="8" s="1"/>
  <c r="O22" i="8" s="1"/>
  <c r="BL18" i="8"/>
  <c r="O18" i="8"/>
  <c r="BK21" i="8"/>
  <c r="BK25" i="8"/>
  <c r="BL25" i="8" s="1"/>
  <c r="O25" i="8" s="1"/>
  <c r="BK16" i="8"/>
  <c r="BL16" i="8" s="1"/>
  <c r="N40" i="8"/>
  <c r="N41" i="8"/>
  <c r="BK18" i="5"/>
  <c r="BK25" i="5" s="1"/>
  <c r="BL25" i="5" s="1"/>
  <c r="O25" i="5" s="1"/>
  <c r="BG35" i="5"/>
  <c r="BP4" i="7"/>
  <c r="BN4" i="7"/>
  <c r="BO4" i="7"/>
  <c r="BG34" i="7"/>
  <c r="BL45" i="7"/>
  <c r="O45" i="7" s="1"/>
  <c r="BG43" i="7"/>
  <c r="BF33" i="7"/>
  <c r="BD33" i="7"/>
  <c r="BE33" i="7"/>
  <c r="BE36" i="7"/>
  <c r="BF36" i="7"/>
  <c r="BD36" i="7"/>
  <c r="BI26" i="7"/>
  <c r="BI27" i="7"/>
  <c r="BI25" i="7"/>
  <c r="BI23" i="7"/>
  <c r="BI22" i="7"/>
  <c r="BI28" i="7"/>
  <c r="BI16" i="7"/>
  <c r="BI21" i="7"/>
  <c r="BI24" i="7"/>
  <c r="BJ17" i="7"/>
  <c r="BD35" i="7"/>
  <c r="BF35" i="7"/>
  <c r="BE35" i="7"/>
  <c r="BL39" i="7"/>
  <c r="O39" i="7" s="1"/>
  <c r="BJ30" i="5"/>
  <c r="BF47" i="5"/>
  <c r="BF49" i="5" s="1"/>
  <c r="BQ4" i="5"/>
  <c r="BD47" i="5"/>
  <c r="BG33" i="5"/>
  <c r="BG36" i="5"/>
  <c r="BE47" i="5"/>
  <c r="BE49" i="5" s="1"/>
  <c r="AP6" i="1"/>
  <c r="AO6" i="1"/>
  <c r="AQ6" i="1"/>
  <c r="AO14" i="1"/>
  <c r="AQ14" i="1"/>
  <c r="AP14" i="1"/>
  <c r="AL42" i="1"/>
  <c r="AJ42" i="1"/>
  <c r="AK42" i="1"/>
  <c r="H37" i="1"/>
  <c r="J6" i="1"/>
  <c r="AL27" i="1"/>
  <c r="AM24" i="1"/>
  <c r="BK25" i="11" l="1"/>
  <c r="BL25" i="11" s="1"/>
  <c r="O25" i="11" s="1"/>
  <c r="BK27" i="11"/>
  <c r="BL27" i="11" s="1"/>
  <c r="O27" i="11" s="1"/>
  <c r="BK23" i="11"/>
  <c r="BL23" i="11" s="1"/>
  <c r="O23" i="11" s="1"/>
  <c r="BK16" i="11"/>
  <c r="BL16" i="11" s="1"/>
  <c r="BK24" i="11"/>
  <c r="BL24" i="11" s="1"/>
  <c r="O24" i="11" s="1"/>
  <c r="BK22" i="11"/>
  <c r="BL22" i="11" s="1"/>
  <c r="O22" i="11" s="1"/>
  <c r="BK28" i="11"/>
  <c r="BL28" i="11" s="1"/>
  <c r="O28" i="11" s="1"/>
  <c r="BK26" i="11"/>
  <c r="BL26" i="11" s="1"/>
  <c r="O26" i="11" s="1"/>
  <c r="BG36" i="13"/>
  <c r="Y21" i="3"/>
  <c r="Z21" i="3" s="1"/>
  <c r="O16" i="8"/>
  <c r="BK21" i="11"/>
  <c r="BL21" i="11" s="1"/>
  <c r="N37" i="11" s="1"/>
  <c r="O18" i="11"/>
  <c r="S21" i="3" s="1"/>
  <c r="T21" i="3" s="1"/>
  <c r="BQ4" i="13"/>
  <c r="BD47" i="13"/>
  <c r="BG33" i="13"/>
  <c r="BG35" i="13"/>
  <c r="BI30" i="13"/>
  <c r="BE47" i="13"/>
  <c r="BE49" i="13" s="1"/>
  <c r="BF47" i="13"/>
  <c r="BF49" i="13" s="1"/>
  <c r="BJ18" i="13"/>
  <c r="N40" i="12"/>
  <c r="N41" i="12"/>
  <c r="P8" i="12"/>
  <c r="N37" i="12"/>
  <c r="BL30" i="12"/>
  <c r="N30" i="12" s="1"/>
  <c r="O30" i="12" s="1"/>
  <c r="M47" i="11"/>
  <c r="BG49" i="11"/>
  <c r="M49" i="11" s="1"/>
  <c r="O21" i="11"/>
  <c r="N18" i="11"/>
  <c r="BF47" i="7"/>
  <c r="BF49" i="7" s="1"/>
  <c r="BG36" i="7"/>
  <c r="BK41" i="8"/>
  <c r="BI41" i="8"/>
  <c r="BJ41" i="8"/>
  <c r="BI40" i="8"/>
  <c r="BK40" i="8"/>
  <c r="BJ40" i="8"/>
  <c r="BK30" i="8"/>
  <c r="BL21" i="8"/>
  <c r="O17" i="8"/>
  <c r="N18" i="8"/>
  <c r="BK26" i="5"/>
  <c r="BL26" i="5" s="1"/>
  <c r="O26" i="5" s="1"/>
  <c r="BK21" i="5"/>
  <c r="BL21" i="5" s="1"/>
  <c r="BK24" i="5"/>
  <c r="BL24" i="5" s="1"/>
  <c r="O24" i="5" s="1"/>
  <c r="O18" i="5"/>
  <c r="BK28" i="5"/>
  <c r="BL28" i="5" s="1"/>
  <c r="O28" i="5" s="1"/>
  <c r="BK27" i="5"/>
  <c r="BL27" i="5" s="1"/>
  <c r="O27" i="5" s="1"/>
  <c r="BL18" i="5"/>
  <c r="N18" i="5" s="1"/>
  <c r="BK23" i="5"/>
  <c r="BL23" i="5" s="1"/>
  <c r="O23" i="5" s="1"/>
  <c r="BK16" i="5"/>
  <c r="BL16" i="5" s="1"/>
  <c r="BK22" i="5"/>
  <c r="BL22" i="5" s="1"/>
  <c r="O22" i="5" s="1"/>
  <c r="BI30" i="7"/>
  <c r="BJ18" i="7"/>
  <c r="BQ4" i="7"/>
  <c r="BE47" i="7"/>
  <c r="BE49" i="7" s="1"/>
  <c r="BG35" i="7"/>
  <c r="BD47" i="7"/>
  <c r="BG33" i="7"/>
  <c r="BG47" i="5"/>
  <c r="BD49" i="5"/>
  <c r="J8" i="1"/>
  <c r="AO8" i="1"/>
  <c r="AP8" i="1"/>
  <c r="AQ8" i="1"/>
  <c r="AR14" i="1"/>
  <c r="AR6" i="1"/>
  <c r="AK37" i="1"/>
  <c r="AL37" i="1"/>
  <c r="AJ37" i="1"/>
  <c r="AM42" i="1"/>
  <c r="AM27" i="1"/>
  <c r="AL30" i="1"/>
  <c r="O16" i="11" l="1"/>
  <c r="O17" i="11"/>
  <c r="BK30" i="11"/>
  <c r="BL30" i="11" s="1"/>
  <c r="BJ28" i="13"/>
  <c r="BJ25" i="13"/>
  <c r="BJ27" i="13"/>
  <c r="BJ26" i="13"/>
  <c r="BJ22" i="13"/>
  <c r="BJ21" i="13"/>
  <c r="BJ24" i="13"/>
  <c r="BJ16" i="13"/>
  <c r="BJ23" i="13"/>
  <c r="BK17" i="13"/>
  <c r="BL17" i="13" s="1"/>
  <c r="N17" i="13" s="1"/>
  <c r="BG47" i="13"/>
  <c r="BD49" i="13"/>
  <c r="O17" i="5"/>
  <c r="W21" i="3"/>
  <c r="O16" i="5"/>
  <c r="P45" i="12"/>
  <c r="Q4" i="12" s="1"/>
  <c r="N43" i="12"/>
  <c r="P39" i="12"/>
  <c r="N34" i="12"/>
  <c r="BP8" i="12"/>
  <c r="BO8" i="12"/>
  <c r="BN8" i="12"/>
  <c r="BN14" i="12"/>
  <c r="BP14" i="12"/>
  <c r="BO14" i="12"/>
  <c r="BK40" i="12"/>
  <c r="BJ40" i="12"/>
  <c r="BI40" i="12"/>
  <c r="BO7" i="12"/>
  <c r="BN7" i="12"/>
  <c r="BP7" i="12"/>
  <c r="BJ41" i="12"/>
  <c r="BI41" i="12"/>
  <c r="BK41" i="12"/>
  <c r="BJ42" i="12"/>
  <c r="BK42" i="12"/>
  <c r="BI42" i="12"/>
  <c r="BP6" i="12"/>
  <c r="BO6" i="12"/>
  <c r="BN6" i="12"/>
  <c r="BJ37" i="12"/>
  <c r="BI37" i="12"/>
  <c r="BK37" i="12"/>
  <c r="BK37" i="11"/>
  <c r="BJ37" i="11"/>
  <c r="BI37" i="11"/>
  <c r="N42" i="11"/>
  <c r="N16" i="11"/>
  <c r="P14" i="11"/>
  <c r="P7" i="11"/>
  <c r="P6" i="11"/>
  <c r="N40" i="11"/>
  <c r="N41" i="11"/>
  <c r="BL40" i="8"/>
  <c r="O40" i="8" s="1"/>
  <c r="BL41" i="8"/>
  <c r="O41" i="8" s="1"/>
  <c r="N37" i="8"/>
  <c r="O21" i="8"/>
  <c r="N42" i="8"/>
  <c r="P7" i="8"/>
  <c r="N16" i="8"/>
  <c r="P6" i="8"/>
  <c r="P14" i="8"/>
  <c r="BL30" i="8"/>
  <c r="BK30" i="5"/>
  <c r="BL30" i="5" s="1"/>
  <c r="N30" i="5" s="1"/>
  <c r="BJ27" i="7"/>
  <c r="BJ26" i="7"/>
  <c r="BJ22" i="7"/>
  <c r="BJ21" i="7"/>
  <c r="BJ24" i="7"/>
  <c r="BJ16" i="7"/>
  <c r="BJ28" i="7"/>
  <c r="BJ25" i="7"/>
  <c r="BJ23" i="7"/>
  <c r="BK17" i="7"/>
  <c r="BL17" i="7" s="1"/>
  <c r="N17" i="7" s="1"/>
  <c r="BG47" i="7"/>
  <c r="BD49" i="7"/>
  <c r="M47" i="5"/>
  <c r="BG49" i="5"/>
  <c r="M49" i="5" s="1"/>
  <c r="N42" i="5"/>
  <c r="N16" i="5"/>
  <c r="P14" i="5"/>
  <c r="P6" i="5"/>
  <c r="P7" i="5"/>
  <c r="N37" i="5"/>
  <c r="O21" i="5"/>
  <c r="AM37" i="1"/>
  <c r="AM30" i="1"/>
  <c r="BL37" i="11" l="1"/>
  <c r="O37" i="11" s="1"/>
  <c r="BK18" i="13"/>
  <c r="BK27" i="13" s="1"/>
  <c r="BL27" i="13" s="1"/>
  <c r="O27" i="13" s="1"/>
  <c r="M47" i="13"/>
  <c r="BG49" i="13"/>
  <c r="M49" i="13" s="1"/>
  <c r="BJ30" i="13"/>
  <c r="X21" i="3"/>
  <c r="N36" i="12"/>
  <c r="N35" i="12"/>
  <c r="N33" i="12"/>
  <c r="BL40" i="12"/>
  <c r="O40" i="12" s="1"/>
  <c r="BQ6" i="12"/>
  <c r="BL37" i="12"/>
  <c r="O37" i="12" s="1"/>
  <c r="BQ14" i="12"/>
  <c r="BL41" i="12"/>
  <c r="O41" i="12" s="1"/>
  <c r="BN17" i="12"/>
  <c r="BQ8" i="12"/>
  <c r="BL42" i="12"/>
  <c r="O42" i="12" s="1"/>
  <c r="BQ7" i="12"/>
  <c r="P21" i="3"/>
  <c r="BO14" i="11"/>
  <c r="BP14" i="11"/>
  <c r="BN14" i="11"/>
  <c r="BJ41" i="11"/>
  <c r="BI41" i="11"/>
  <c r="BK41" i="11"/>
  <c r="BJ42" i="11"/>
  <c r="BK42" i="11"/>
  <c r="BI42" i="11"/>
  <c r="BK40" i="11"/>
  <c r="BJ40" i="11"/>
  <c r="BI40" i="11"/>
  <c r="BP6" i="11"/>
  <c r="BN6" i="11"/>
  <c r="BO6" i="11"/>
  <c r="BO7" i="11"/>
  <c r="BP7" i="11"/>
  <c r="BN7" i="11"/>
  <c r="N30" i="11"/>
  <c r="P8" i="11"/>
  <c r="BP14" i="8"/>
  <c r="BO14" i="8"/>
  <c r="BN14" i="8"/>
  <c r="BP6" i="8"/>
  <c r="BO6" i="8"/>
  <c r="BN6" i="8"/>
  <c r="BN7" i="8"/>
  <c r="BP7" i="8"/>
  <c r="BO7" i="8"/>
  <c r="BI42" i="8"/>
  <c r="BK42" i="8"/>
  <c r="BJ42" i="8"/>
  <c r="N30" i="8"/>
  <c r="BI37" i="8"/>
  <c r="BK37" i="8"/>
  <c r="BJ37" i="8"/>
  <c r="P8" i="8"/>
  <c r="P8" i="5"/>
  <c r="BN8" i="5" s="1"/>
  <c r="M47" i="7"/>
  <c r="BG49" i="7"/>
  <c r="M49" i="7" s="1"/>
  <c r="BJ30" i="7"/>
  <c r="BK18" i="7"/>
  <c r="BP14" i="5"/>
  <c r="BO14" i="5"/>
  <c r="BN14" i="5"/>
  <c r="BP6" i="5"/>
  <c r="BO6" i="5"/>
  <c r="BN6" i="5"/>
  <c r="N41" i="5"/>
  <c r="N40" i="5"/>
  <c r="BK37" i="5"/>
  <c r="BJ37" i="5"/>
  <c r="BI37" i="5"/>
  <c r="BJ42" i="5"/>
  <c r="BI42" i="5"/>
  <c r="BK42" i="5"/>
  <c r="BP7" i="5"/>
  <c r="BO7" i="5"/>
  <c r="BN7" i="5"/>
  <c r="P39" i="5"/>
  <c r="P45" i="5"/>
  <c r="N43" i="5"/>
  <c r="N34" i="5"/>
  <c r="O30" i="5"/>
  <c r="H30" i="1"/>
  <c r="BK24" i="13" l="1"/>
  <c r="BL24" i="13" s="1"/>
  <c r="O24" i="13" s="1"/>
  <c r="BL18" i="13"/>
  <c r="N18" i="13" s="1"/>
  <c r="BK23" i="13"/>
  <c r="BL23" i="13" s="1"/>
  <c r="O23" i="13" s="1"/>
  <c r="BK21" i="13"/>
  <c r="BL21" i="13" s="1"/>
  <c r="N37" i="13" s="1"/>
  <c r="BK25" i="13"/>
  <c r="BL25" i="13" s="1"/>
  <c r="O25" i="13" s="1"/>
  <c r="BK16" i="13"/>
  <c r="BL16" i="13" s="1"/>
  <c r="BK22" i="13"/>
  <c r="BL22" i="13" s="1"/>
  <c r="O22" i="13" s="1"/>
  <c r="BK26" i="13"/>
  <c r="BL26" i="13" s="1"/>
  <c r="O26" i="13" s="1"/>
  <c r="BK28" i="13"/>
  <c r="BL28" i="13" s="1"/>
  <c r="O28" i="13" s="1"/>
  <c r="O18" i="13"/>
  <c r="AA21" i="3" s="1"/>
  <c r="AB21" i="3" s="1"/>
  <c r="BQ6" i="8"/>
  <c r="O21" i="13"/>
  <c r="N40" i="13"/>
  <c r="N41" i="13"/>
  <c r="BQ14" i="11"/>
  <c r="BI43" i="12"/>
  <c r="BJ43" i="12"/>
  <c r="BK43" i="12"/>
  <c r="BP45" i="12"/>
  <c r="BO45" i="12"/>
  <c r="BN45" i="12"/>
  <c r="BN39" i="12"/>
  <c r="BP39" i="12"/>
  <c r="BO39" i="12"/>
  <c r="BI34" i="12"/>
  <c r="BK34" i="12"/>
  <c r="BJ34" i="12"/>
  <c r="BN18" i="12"/>
  <c r="BL41" i="11"/>
  <c r="O41" i="11" s="1"/>
  <c r="BQ7" i="11"/>
  <c r="BL40" i="11"/>
  <c r="O40" i="11" s="1"/>
  <c r="BP8" i="11"/>
  <c r="BO8" i="11"/>
  <c r="BN8" i="11"/>
  <c r="P39" i="11"/>
  <c r="P45" i="11"/>
  <c r="N43" i="11"/>
  <c r="N34" i="11"/>
  <c r="O30" i="11"/>
  <c r="BQ6" i="11"/>
  <c r="BL42" i="11"/>
  <c r="O42" i="11" s="1"/>
  <c r="BL42" i="8"/>
  <c r="O42" i="8" s="1"/>
  <c r="BQ14" i="8"/>
  <c r="BL37" i="8"/>
  <c r="O37" i="8" s="1"/>
  <c r="BO8" i="8"/>
  <c r="BP8" i="8"/>
  <c r="BN8" i="8"/>
  <c r="P45" i="8"/>
  <c r="N43" i="8"/>
  <c r="P39" i="8"/>
  <c r="N34" i="8"/>
  <c r="N33" i="8" s="1"/>
  <c r="O30" i="8"/>
  <c r="BQ7" i="8"/>
  <c r="BO8" i="5"/>
  <c r="BP8" i="5"/>
  <c r="BQ6" i="5"/>
  <c r="N40" i="7"/>
  <c r="N41" i="7"/>
  <c r="BK28" i="7"/>
  <c r="BL28" i="7" s="1"/>
  <c r="O28" i="7" s="1"/>
  <c r="BK25" i="7"/>
  <c r="BL25" i="7" s="1"/>
  <c r="O25" i="7" s="1"/>
  <c r="BK22" i="7"/>
  <c r="BL22" i="7" s="1"/>
  <c r="O22" i="7" s="1"/>
  <c r="BK26" i="7"/>
  <c r="BL26" i="7" s="1"/>
  <c r="O26" i="7" s="1"/>
  <c r="BK16" i="7"/>
  <c r="BL16" i="7" s="1"/>
  <c r="BK21" i="7"/>
  <c r="BK27" i="7"/>
  <c r="BL27" i="7" s="1"/>
  <c r="O27" i="7" s="1"/>
  <c r="O18" i="7"/>
  <c r="BK24" i="7"/>
  <c r="BL24" i="7" s="1"/>
  <c r="O24" i="7" s="1"/>
  <c r="BK23" i="7"/>
  <c r="BL23" i="7" s="1"/>
  <c r="O23" i="7" s="1"/>
  <c r="BL18" i="7"/>
  <c r="BQ14" i="5"/>
  <c r="N35" i="5"/>
  <c r="BI34" i="5"/>
  <c r="N33" i="5"/>
  <c r="BK34" i="5"/>
  <c r="BJ34" i="5"/>
  <c r="N36" i="5"/>
  <c r="BI40" i="5"/>
  <c r="BK40" i="5"/>
  <c r="BJ40" i="5"/>
  <c r="BK43" i="5"/>
  <c r="BJ43" i="5"/>
  <c r="BI43" i="5"/>
  <c r="BL42" i="5"/>
  <c r="O42" i="5" s="1"/>
  <c r="BN17" i="5"/>
  <c r="BP45" i="5"/>
  <c r="BO45" i="5"/>
  <c r="BN45" i="5"/>
  <c r="Q4" i="5"/>
  <c r="BK41" i="5"/>
  <c r="BJ41" i="5"/>
  <c r="BI41" i="5"/>
  <c r="BL37" i="5"/>
  <c r="O37" i="5" s="1"/>
  <c r="BO39" i="5"/>
  <c r="BN39" i="5"/>
  <c r="BP39" i="5"/>
  <c r="BQ7" i="5"/>
  <c r="I39" i="1"/>
  <c r="H34" i="1"/>
  <c r="I45" i="1"/>
  <c r="H43" i="1"/>
  <c r="O16" i="13" l="1"/>
  <c r="O17" i="13"/>
  <c r="BK30" i="13"/>
  <c r="BL30" i="13" s="1"/>
  <c r="N30" i="13" s="1"/>
  <c r="BJ41" i="13"/>
  <c r="BK41" i="13"/>
  <c r="BI41" i="13"/>
  <c r="BJ37" i="13"/>
  <c r="BK37" i="13"/>
  <c r="BI37" i="13"/>
  <c r="BJ40" i="13"/>
  <c r="BI40" i="13"/>
  <c r="BK40" i="13"/>
  <c r="N42" i="13"/>
  <c r="P7" i="13"/>
  <c r="P6" i="13"/>
  <c r="N16" i="13"/>
  <c r="P14" i="13"/>
  <c r="O16" i="7"/>
  <c r="U21" i="3"/>
  <c r="V21" i="3" s="1"/>
  <c r="BQ45" i="12"/>
  <c r="BQ39" i="12"/>
  <c r="BU4" i="12"/>
  <c r="BS4" i="12"/>
  <c r="BT4" i="12"/>
  <c r="BK36" i="12"/>
  <c r="BJ36" i="12"/>
  <c r="BI36" i="12"/>
  <c r="BJ33" i="12"/>
  <c r="BK33" i="12"/>
  <c r="BI33" i="12"/>
  <c r="BL34" i="12"/>
  <c r="O34" i="12" s="1"/>
  <c r="BK35" i="12"/>
  <c r="BJ35" i="12"/>
  <c r="BI35" i="12"/>
  <c r="BN26" i="12"/>
  <c r="BN27" i="12"/>
  <c r="BN23" i="12"/>
  <c r="BN24" i="12"/>
  <c r="BN16" i="12"/>
  <c r="BN21" i="12"/>
  <c r="BN28" i="12"/>
  <c r="BN25" i="12"/>
  <c r="BN22" i="12"/>
  <c r="BO17" i="12"/>
  <c r="BO18" i="12" s="1"/>
  <c r="BL43" i="12"/>
  <c r="O43" i="12" s="1"/>
  <c r="BN39" i="11"/>
  <c r="BO39" i="11"/>
  <c r="BP39" i="11"/>
  <c r="BQ8" i="11"/>
  <c r="BN17" i="11"/>
  <c r="BJ34" i="11"/>
  <c r="N36" i="11"/>
  <c r="N33" i="11"/>
  <c r="N35" i="11"/>
  <c r="BK34" i="11"/>
  <c r="BI34" i="11"/>
  <c r="BI43" i="11"/>
  <c r="BJ43" i="11"/>
  <c r="BK43" i="11"/>
  <c r="BO45" i="11"/>
  <c r="BN45" i="11"/>
  <c r="BP45" i="11"/>
  <c r="Q4" i="11"/>
  <c r="BP45" i="8"/>
  <c r="BO45" i="8"/>
  <c r="BN45" i="8"/>
  <c r="Q4" i="8"/>
  <c r="BQ8" i="8"/>
  <c r="BN17" i="8"/>
  <c r="BI34" i="8"/>
  <c r="N35" i="8"/>
  <c r="BK34" i="8"/>
  <c r="N36" i="8"/>
  <c r="BJ34" i="8"/>
  <c r="BP39" i="8"/>
  <c r="BN39" i="8"/>
  <c r="BO39" i="8"/>
  <c r="BI43" i="8"/>
  <c r="BK43" i="8"/>
  <c r="BJ43" i="8"/>
  <c r="BQ8" i="5"/>
  <c r="BL40" i="5"/>
  <c r="O40" i="5" s="1"/>
  <c r="BQ39" i="5"/>
  <c r="O17" i="7"/>
  <c r="BK30" i="7"/>
  <c r="BL21" i="7"/>
  <c r="BJ41" i="7"/>
  <c r="BI41" i="7"/>
  <c r="BK41" i="7"/>
  <c r="BK40" i="7"/>
  <c r="BI40" i="7"/>
  <c r="BJ40" i="7"/>
  <c r="N18" i="7"/>
  <c r="BS4" i="5"/>
  <c r="BU4" i="5"/>
  <c r="BT4" i="5"/>
  <c r="BI36" i="5"/>
  <c r="BK36" i="5"/>
  <c r="BJ36" i="5"/>
  <c r="BQ45" i="5"/>
  <c r="BL43" i="5"/>
  <c r="O43" i="5" s="1"/>
  <c r="BL34" i="5"/>
  <c r="O34" i="5" s="1"/>
  <c r="BL41" i="5"/>
  <c r="O41" i="5" s="1"/>
  <c r="BN18" i="5"/>
  <c r="BK35" i="5"/>
  <c r="BJ35" i="5"/>
  <c r="BI35" i="5"/>
  <c r="BI33" i="5"/>
  <c r="BJ33" i="5"/>
  <c r="BK33" i="5"/>
  <c r="AK43" i="1"/>
  <c r="AL43" i="1"/>
  <c r="AJ43" i="1"/>
  <c r="AQ45" i="1"/>
  <c r="AP45" i="1"/>
  <c r="K4" i="1"/>
  <c r="AO45" i="1"/>
  <c r="AK34" i="1"/>
  <c r="AJ34" i="1"/>
  <c r="AL34" i="1"/>
  <c r="H33" i="1"/>
  <c r="H36" i="1"/>
  <c r="H35" i="1"/>
  <c r="AO39" i="1"/>
  <c r="AP39" i="1"/>
  <c r="AQ39" i="1"/>
  <c r="BL41" i="13" l="1"/>
  <c r="O41" i="13" s="1"/>
  <c r="BL37" i="13"/>
  <c r="O37" i="13" s="1"/>
  <c r="BN7" i="13"/>
  <c r="BP7" i="13"/>
  <c r="BO7" i="13"/>
  <c r="BL40" i="13"/>
  <c r="O40" i="13" s="1"/>
  <c r="BI42" i="13"/>
  <c r="BK42" i="13"/>
  <c r="BJ42" i="13"/>
  <c r="P8" i="13"/>
  <c r="BO14" i="13"/>
  <c r="BN14" i="13"/>
  <c r="BP14" i="13"/>
  <c r="P39" i="13"/>
  <c r="N43" i="13"/>
  <c r="P45" i="13"/>
  <c r="N34" i="13"/>
  <c r="O30" i="13"/>
  <c r="BP6" i="13"/>
  <c r="BO6" i="13"/>
  <c r="BN6" i="13"/>
  <c r="BL35" i="12"/>
  <c r="O35" i="12" s="1"/>
  <c r="BL36" i="12"/>
  <c r="O36" i="12" s="1"/>
  <c r="BN30" i="12"/>
  <c r="BO28" i="12"/>
  <c r="BO26" i="12"/>
  <c r="BO25" i="12"/>
  <c r="BO22" i="12"/>
  <c r="BO21" i="12"/>
  <c r="BO24" i="12"/>
  <c r="BO16" i="12"/>
  <c r="BO27" i="12"/>
  <c r="BO23" i="12"/>
  <c r="BP17" i="12"/>
  <c r="BQ17" i="12" s="1"/>
  <c r="P17" i="12" s="1"/>
  <c r="BI47" i="12"/>
  <c r="BL33" i="12"/>
  <c r="O33" i="12" s="1"/>
  <c r="BK47" i="12"/>
  <c r="BK49" i="12" s="1"/>
  <c r="BV4" i="12"/>
  <c r="BJ47" i="12"/>
  <c r="BJ49" i="12" s="1"/>
  <c r="BQ45" i="11"/>
  <c r="BJ36" i="11"/>
  <c r="BI36" i="11"/>
  <c r="BK36" i="11"/>
  <c r="BL43" i="11"/>
  <c r="O43" i="11" s="1"/>
  <c r="BN18" i="11"/>
  <c r="BT4" i="11"/>
  <c r="BS4" i="11"/>
  <c r="BU4" i="11"/>
  <c r="BL34" i="11"/>
  <c r="O34" i="11" s="1"/>
  <c r="BI35" i="11"/>
  <c r="BJ35" i="11"/>
  <c r="BK35" i="11"/>
  <c r="BK33" i="11"/>
  <c r="BJ33" i="11"/>
  <c r="BI33" i="11"/>
  <c r="BQ39" i="11"/>
  <c r="BQ45" i="8"/>
  <c r="BQ39" i="8"/>
  <c r="BN18" i="8"/>
  <c r="BK36" i="8"/>
  <c r="BI36" i="8"/>
  <c r="BJ36" i="8"/>
  <c r="BU4" i="8"/>
  <c r="BS4" i="8"/>
  <c r="BT4" i="8"/>
  <c r="BL43" i="8"/>
  <c r="O43" i="8" s="1"/>
  <c r="BL34" i="8"/>
  <c r="O34" i="8" s="1"/>
  <c r="BJ35" i="8"/>
  <c r="BK35" i="8"/>
  <c r="BI35" i="8"/>
  <c r="BK33" i="8"/>
  <c r="BJ33" i="8"/>
  <c r="BI33" i="8"/>
  <c r="BL36" i="5"/>
  <c r="O36" i="5" s="1"/>
  <c r="BV4" i="5"/>
  <c r="BL35" i="5"/>
  <c r="O35" i="5" s="1"/>
  <c r="BL41" i="7"/>
  <c r="O41" i="7" s="1"/>
  <c r="N42" i="7"/>
  <c r="N16" i="7"/>
  <c r="P14" i="7"/>
  <c r="P6" i="7"/>
  <c r="P7" i="7"/>
  <c r="N37" i="7"/>
  <c r="O21" i="7"/>
  <c r="BL30" i="7"/>
  <c r="BL40" i="7"/>
  <c r="O40" i="7" s="1"/>
  <c r="BN27" i="5"/>
  <c r="BN25" i="5"/>
  <c r="BN26" i="5"/>
  <c r="BN22" i="5"/>
  <c r="BN28" i="5"/>
  <c r="BN23" i="5"/>
  <c r="BN24" i="5"/>
  <c r="BN21" i="5"/>
  <c r="BN16" i="5"/>
  <c r="BO17" i="5"/>
  <c r="BJ47" i="5"/>
  <c r="BJ49" i="5" s="1"/>
  <c r="BK47" i="5"/>
  <c r="BK49" i="5" s="1"/>
  <c r="BI47" i="5"/>
  <c r="BL33" i="5"/>
  <c r="O33" i="5" s="1"/>
  <c r="AR45" i="1"/>
  <c r="J45" i="1" s="1"/>
  <c r="AT4" i="1"/>
  <c r="AV4" i="1"/>
  <c r="AU4" i="1"/>
  <c r="AR39" i="1"/>
  <c r="J39" i="1" s="1"/>
  <c r="AK36" i="1"/>
  <c r="AL36" i="1"/>
  <c r="AJ36" i="1"/>
  <c r="AL35" i="1"/>
  <c r="AK35" i="1"/>
  <c r="AJ35" i="1"/>
  <c r="AM34" i="1"/>
  <c r="AM43" i="1"/>
  <c r="AJ33" i="1"/>
  <c r="AK33" i="1"/>
  <c r="AL33" i="1"/>
  <c r="BQ6" i="13" l="1"/>
  <c r="BJ43" i="13"/>
  <c r="BK43" i="13"/>
  <c r="BI43" i="13"/>
  <c r="BP39" i="13"/>
  <c r="BN39" i="13"/>
  <c r="BO39" i="13"/>
  <c r="BL42" i="13"/>
  <c r="O42" i="13" s="1"/>
  <c r="BQ14" i="13"/>
  <c r="BI34" i="13"/>
  <c r="N33" i="13"/>
  <c r="BK34" i="13"/>
  <c r="N35" i="13"/>
  <c r="BJ34" i="13"/>
  <c r="N36" i="13"/>
  <c r="BO8" i="13"/>
  <c r="BP8" i="13"/>
  <c r="BN8" i="13"/>
  <c r="BQ7" i="13"/>
  <c r="BO45" i="13"/>
  <c r="BN45" i="13"/>
  <c r="BP45" i="13"/>
  <c r="Q4" i="13"/>
  <c r="BP18" i="12"/>
  <c r="BP26" i="12" s="1"/>
  <c r="BQ26" i="12" s="1"/>
  <c r="BO30" i="12"/>
  <c r="BL47" i="12"/>
  <c r="N47" i="12" s="1"/>
  <c r="O47" i="12" s="1"/>
  <c r="BI49" i="12"/>
  <c r="BK47" i="11"/>
  <c r="BK49" i="11" s="1"/>
  <c r="BV4" i="11"/>
  <c r="BN26" i="11"/>
  <c r="BN25" i="11"/>
  <c r="BN24" i="11"/>
  <c r="BN28" i="11"/>
  <c r="BN23" i="11"/>
  <c r="BN27" i="11"/>
  <c r="BN16" i="11"/>
  <c r="BN22" i="11"/>
  <c r="BN21" i="11"/>
  <c r="BO17" i="11"/>
  <c r="BL35" i="11"/>
  <c r="O35" i="11" s="1"/>
  <c r="BL33" i="11"/>
  <c r="O33" i="11" s="1"/>
  <c r="BI47" i="11"/>
  <c r="BL36" i="11"/>
  <c r="O36" i="11" s="1"/>
  <c r="BJ47" i="11"/>
  <c r="BJ49" i="11" s="1"/>
  <c r="BL35" i="8"/>
  <c r="O35" i="8" s="1"/>
  <c r="BV4" i="8"/>
  <c r="BL36" i="8"/>
  <c r="O36" i="8" s="1"/>
  <c r="BJ47" i="8"/>
  <c r="BJ49" i="8" s="1"/>
  <c r="BI47" i="8"/>
  <c r="BL33" i="8"/>
  <c r="O33" i="8" s="1"/>
  <c r="BN27" i="8"/>
  <c r="BN28" i="8"/>
  <c r="BN23" i="8"/>
  <c r="BN16" i="8"/>
  <c r="BN26" i="8"/>
  <c r="BN22" i="8"/>
  <c r="BN21" i="8"/>
  <c r="BN25" i="8"/>
  <c r="BN24" i="8"/>
  <c r="BO17" i="8"/>
  <c r="BO18" i="8" s="1"/>
  <c r="BK47" i="8"/>
  <c r="BK49" i="8" s="1"/>
  <c r="BK37" i="7"/>
  <c r="BJ37" i="7"/>
  <c r="BI37" i="7"/>
  <c r="BP6" i="7"/>
  <c r="BN6" i="7"/>
  <c r="BO6" i="7"/>
  <c r="BO14" i="7"/>
  <c r="BN14" i="7"/>
  <c r="BP14" i="7"/>
  <c r="P8" i="7"/>
  <c r="N30" i="7"/>
  <c r="BO7" i="7"/>
  <c r="BP7" i="7"/>
  <c r="BN7" i="7"/>
  <c r="BJ42" i="7"/>
  <c r="BK42" i="7"/>
  <c r="BI42" i="7"/>
  <c r="BL47" i="5"/>
  <c r="BI49" i="5"/>
  <c r="BN30" i="5"/>
  <c r="BO18" i="5"/>
  <c r="AM35" i="1"/>
  <c r="AJ47" i="1"/>
  <c r="AM33" i="1"/>
  <c r="AM36" i="1"/>
  <c r="AL47" i="1"/>
  <c r="AL49" i="1" s="1"/>
  <c r="AK47" i="1"/>
  <c r="AK49" i="1" s="1"/>
  <c r="AW4" i="1"/>
  <c r="BL43" i="13" l="1"/>
  <c r="O43" i="13" s="1"/>
  <c r="BI36" i="13"/>
  <c r="BK36" i="13"/>
  <c r="BJ36" i="13"/>
  <c r="BQ45" i="13"/>
  <c r="BQ39" i="13"/>
  <c r="BK35" i="13"/>
  <c r="BJ35" i="13"/>
  <c r="BI35" i="13"/>
  <c r="BU4" i="13"/>
  <c r="BT4" i="13"/>
  <c r="BS4" i="13"/>
  <c r="BN17" i="13"/>
  <c r="BQ8" i="13"/>
  <c r="BJ33" i="13"/>
  <c r="BI33" i="13"/>
  <c r="BK33" i="13"/>
  <c r="BL34" i="13"/>
  <c r="O34" i="13" s="1"/>
  <c r="BP21" i="12"/>
  <c r="BQ21" i="12" s="1"/>
  <c r="BP22" i="12"/>
  <c r="BQ22" i="12" s="1"/>
  <c r="BP25" i="12"/>
  <c r="BQ25" i="12" s="1"/>
  <c r="BP28" i="12"/>
  <c r="BQ28" i="12" s="1"/>
  <c r="BP27" i="12"/>
  <c r="BQ27" i="12" s="1"/>
  <c r="BP16" i="12"/>
  <c r="BQ16" i="12" s="1"/>
  <c r="BQ18" i="12"/>
  <c r="P18" i="12" s="1"/>
  <c r="P42" i="12" s="1"/>
  <c r="BP24" i="12"/>
  <c r="BQ24" i="12" s="1"/>
  <c r="BP23" i="12"/>
  <c r="BQ23" i="12" s="1"/>
  <c r="BL49" i="12"/>
  <c r="N49" i="12" s="1"/>
  <c r="BO18" i="11"/>
  <c r="BN30" i="11"/>
  <c r="BL47" i="11"/>
  <c r="BI49" i="11"/>
  <c r="BL37" i="7"/>
  <c r="O37" i="7" s="1"/>
  <c r="BL42" i="7"/>
  <c r="O42" i="7" s="1"/>
  <c r="BN30" i="8"/>
  <c r="BO27" i="8"/>
  <c r="BO23" i="8"/>
  <c r="BO25" i="8"/>
  <c r="BO26" i="8"/>
  <c r="BO22" i="8"/>
  <c r="BO21" i="8"/>
  <c r="BO28" i="8"/>
  <c r="BO24" i="8"/>
  <c r="BO16" i="8"/>
  <c r="BP17" i="8"/>
  <c r="BP18" i="8" s="1"/>
  <c r="BL47" i="8"/>
  <c r="BI49" i="8"/>
  <c r="BQ6" i="7"/>
  <c r="BP8" i="7"/>
  <c r="BO8" i="7"/>
  <c r="BN8" i="7"/>
  <c r="P39" i="7"/>
  <c r="P45" i="7"/>
  <c r="N43" i="7"/>
  <c r="N34" i="7"/>
  <c r="O30" i="7"/>
  <c r="BQ7" i="7"/>
  <c r="BQ14" i="7"/>
  <c r="BO26" i="5"/>
  <c r="BO22" i="5"/>
  <c r="BO23" i="5"/>
  <c r="BO28" i="5"/>
  <c r="BO24" i="5"/>
  <c r="BO21" i="5"/>
  <c r="BO27" i="5"/>
  <c r="BO25" i="5"/>
  <c r="BO16" i="5"/>
  <c r="BP17" i="5"/>
  <c r="BQ17" i="5" s="1"/>
  <c r="P17" i="5" s="1"/>
  <c r="N47" i="5"/>
  <c r="O47" i="5" s="1"/>
  <c r="BL49" i="5"/>
  <c r="N49" i="5" s="1"/>
  <c r="AM47" i="1"/>
  <c r="AJ49" i="1"/>
  <c r="O49" i="12" l="1"/>
  <c r="BV4" i="13"/>
  <c r="BJ47" i="13"/>
  <c r="BJ49" i="13" s="1"/>
  <c r="BN18" i="13"/>
  <c r="BK47" i="13"/>
  <c r="BK49" i="13" s="1"/>
  <c r="BL36" i="13"/>
  <c r="O36" i="13" s="1"/>
  <c r="BI47" i="13"/>
  <c r="BL33" i="13"/>
  <c r="O33" i="13" s="1"/>
  <c r="BL35" i="13"/>
  <c r="O35" i="13" s="1"/>
  <c r="Q6" i="12"/>
  <c r="Q7" i="12"/>
  <c r="BU7" i="12" s="1"/>
  <c r="BP30" i="12"/>
  <c r="BQ30" i="12" s="1"/>
  <c r="P30" i="12" s="1"/>
  <c r="Q45" i="12" s="1"/>
  <c r="R4" i="12" s="1"/>
  <c r="Q14" i="12"/>
  <c r="BT14" i="12" s="1"/>
  <c r="P16" i="12"/>
  <c r="P37" i="12"/>
  <c r="P41" i="12"/>
  <c r="P40" i="12"/>
  <c r="BP42" i="12"/>
  <c r="BO42" i="12"/>
  <c r="BN42" i="12"/>
  <c r="BO27" i="11"/>
  <c r="BO28" i="11"/>
  <c r="BO25" i="11"/>
  <c r="BO23" i="11"/>
  <c r="BO24" i="11"/>
  <c r="BO16" i="11"/>
  <c r="BO22" i="11"/>
  <c r="BO21" i="11"/>
  <c r="BO26" i="11"/>
  <c r="BP17" i="11"/>
  <c r="BQ17" i="11" s="1"/>
  <c r="P17" i="11" s="1"/>
  <c r="N47" i="11"/>
  <c r="O47" i="11" s="1"/>
  <c r="BL49" i="11"/>
  <c r="N49" i="11" s="1"/>
  <c r="BP26" i="8"/>
  <c r="BQ26" i="8" s="1"/>
  <c r="BP27" i="8"/>
  <c r="BQ27" i="8" s="1"/>
  <c r="BP22" i="8"/>
  <c r="BQ22" i="8" s="1"/>
  <c r="BQ18" i="8"/>
  <c r="P18" i="8" s="1"/>
  <c r="BP21" i="8"/>
  <c r="BP28" i="8"/>
  <c r="BQ28" i="8" s="1"/>
  <c r="BP25" i="8"/>
  <c r="BQ25" i="8" s="1"/>
  <c r="BP24" i="8"/>
  <c r="BQ24" i="8" s="1"/>
  <c r="BP23" i="8"/>
  <c r="BQ23" i="8" s="1"/>
  <c r="BP16" i="8"/>
  <c r="BQ16" i="8" s="1"/>
  <c r="BQ17" i="8"/>
  <c r="P17" i="8" s="1"/>
  <c r="BO30" i="8"/>
  <c r="N47" i="8"/>
  <c r="O47" i="8" s="1"/>
  <c r="BL49" i="8"/>
  <c r="N49" i="8" s="1"/>
  <c r="BP18" i="5"/>
  <c r="BP28" i="5" s="1"/>
  <c r="BQ28" i="5" s="1"/>
  <c r="BI43" i="7"/>
  <c r="BJ43" i="7"/>
  <c r="BK43" i="7"/>
  <c r="BN39" i="7"/>
  <c r="BO39" i="7"/>
  <c r="BP39" i="7"/>
  <c r="BP45" i="7"/>
  <c r="BO45" i="7"/>
  <c r="BN45" i="7"/>
  <c r="Q4" i="7"/>
  <c r="BN17" i="7"/>
  <c r="BQ8" i="7"/>
  <c r="N36" i="7"/>
  <c r="BK34" i="7"/>
  <c r="BI34" i="7"/>
  <c r="N35" i="7"/>
  <c r="BJ34" i="7"/>
  <c r="N33" i="7"/>
  <c r="BO30" i="5"/>
  <c r="P40" i="5"/>
  <c r="P41" i="5"/>
  <c r="O49" i="5"/>
  <c r="H47" i="1"/>
  <c r="AM49" i="1"/>
  <c r="H49" i="1" s="1"/>
  <c r="P34" i="12" l="1"/>
  <c r="P35" i="12" s="1"/>
  <c r="BL47" i="13"/>
  <c r="BI49" i="13"/>
  <c r="BN28" i="13"/>
  <c r="BN26" i="13"/>
  <c r="BN22" i="13"/>
  <c r="BN21" i="13"/>
  <c r="BN25" i="13"/>
  <c r="BN23" i="13"/>
  <c r="BN27" i="13"/>
  <c r="BN24" i="13"/>
  <c r="BN16" i="13"/>
  <c r="BO17" i="13"/>
  <c r="Q8" i="12"/>
  <c r="BS8" i="12" s="1"/>
  <c r="BT6" i="12"/>
  <c r="BS6" i="12"/>
  <c r="BU6" i="12"/>
  <c r="BS7" i="12"/>
  <c r="BT7" i="12"/>
  <c r="BV7" i="12" s="1"/>
  <c r="BS14" i="12"/>
  <c r="BU14" i="12"/>
  <c r="Q39" i="12"/>
  <c r="P43" i="12"/>
  <c r="BQ42" i="12"/>
  <c r="BO37" i="12"/>
  <c r="BP37" i="12"/>
  <c r="BN37" i="12"/>
  <c r="BN41" i="12"/>
  <c r="BO41" i="12"/>
  <c r="BP41" i="12"/>
  <c r="BP40" i="12"/>
  <c r="BN40" i="12"/>
  <c r="BO40" i="12"/>
  <c r="P41" i="11"/>
  <c r="P40" i="11"/>
  <c r="O49" i="11"/>
  <c r="BP18" i="11"/>
  <c r="BO30" i="11"/>
  <c r="P41" i="8"/>
  <c r="P40" i="8"/>
  <c r="O49" i="8"/>
  <c r="BP30" i="8"/>
  <c r="BQ21" i="8"/>
  <c r="P42" i="8"/>
  <c r="P16" i="8"/>
  <c r="Q7" i="8"/>
  <c r="Q6" i="8"/>
  <c r="Q14" i="8"/>
  <c r="BP16" i="5"/>
  <c r="BQ16" i="5" s="1"/>
  <c r="BP22" i="5"/>
  <c r="BQ22" i="5" s="1"/>
  <c r="BP25" i="5"/>
  <c r="BQ25" i="5" s="1"/>
  <c r="BP26" i="5"/>
  <c r="BQ26" i="5" s="1"/>
  <c r="BP27" i="5"/>
  <c r="BQ27" i="5" s="1"/>
  <c r="BP21" i="5"/>
  <c r="BQ21" i="5" s="1"/>
  <c r="P37" i="5" s="1"/>
  <c r="BP23" i="5"/>
  <c r="BQ23" i="5" s="1"/>
  <c r="BP24" i="5"/>
  <c r="BQ24" i="5" s="1"/>
  <c r="BQ18" i="5"/>
  <c r="P18" i="5" s="1"/>
  <c r="P42" i="5" s="1"/>
  <c r="BJ36" i="7"/>
  <c r="BI36" i="7"/>
  <c r="BK36" i="7"/>
  <c r="BI33" i="7"/>
  <c r="BK33" i="7"/>
  <c r="BJ33" i="7"/>
  <c r="BQ39" i="7"/>
  <c r="BN18" i="7"/>
  <c r="BI35" i="7"/>
  <c r="BJ35" i="7"/>
  <c r="BK35" i="7"/>
  <c r="BU4" i="7"/>
  <c r="BT4" i="7"/>
  <c r="BS4" i="7"/>
  <c r="BL34" i="7"/>
  <c r="O34" i="7" s="1"/>
  <c r="BQ45" i="7"/>
  <c r="BL43" i="7"/>
  <c r="O43" i="7" s="1"/>
  <c r="BN40" i="5"/>
  <c r="BP40" i="5"/>
  <c r="BO40" i="5"/>
  <c r="BP41" i="5"/>
  <c r="BO41" i="5"/>
  <c r="BN41" i="5"/>
  <c r="I40" i="1"/>
  <c r="I41" i="1"/>
  <c r="P36" i="12" l="1"/>
  <c r="P33" i="12"/>
  <c r="BU8" i="12"/>
  <c r="BT8" i="12"/>
  <c r="BS17" i="12"/>
  <c r="BS18" i="12" s="1"/>
  <c r="BN30" i="13"/>
  <c r="BO18" i="13"/>
  <c r="N47" i="13"/>
  <c r="O47" i="13" s="1"/>
  <c r="BL49" i="13"/>
  <c r="N49" i="13" s="1"/>
  <c r="BV6" i="12"/>
  <c r="BV14" i="12"/>
  <c r="BQ37" i="12"/>
  <c r="BS39" i="12"/>
  <c r="BU39" i="12"/>
  <c r="BT39" i="12"/>
  <c r="BO43" i="12"/>
  <c r="BN43" i="12"/>
  <c r="BP43" i="12"/>
  <c r="BS45" i="12"/>
  <c r="BU45" i="12"/>
  <c r="BT45" i="12"/>
  <c r="BN34" i="12"/>
  <c r="BO34" i="12"/>
  <c r="BP34" i="12"/>
  <c r="BQ40" i="12"/>
  <c r="BQ41" i="12"/>
  <c r="BP24" i="11"/>
  <c r="BQ24" i="11" s="1"/>
  <c r="BP27" i="11"/>
  <c r="BQ27" i="11" s="1"/>
  <c r="BP22" i="11"/>
  <c r="BQ22" i="11" s="1"/>
  <c r="BP21" i="11"/>
  <c r="BP28" i="11"/>
  <c r="BQ28" i="11" s="1"/>
  <c r="BP23" i="11"/>
  <c r="BQ23" i="11" s="1"/>
  <c r="BP16" i="11"/>
  <c r="BQ16" i="11" s="1"/>
  <c r="BP26" i="11"/>
  <c r="BQ26" i="11" s="1"/>
  <c r="BP25" i="11"/>
  <c r="BQ25" i="11" s="1"/>
  <c r="BQ18" i="11"/>
  <c r="P18" i="11" s="1"/>
  <c r="BP40" i="11"/>
  <c r="BN40" i="11"/>
  <c r="BO40" i="11"/>
  <c r="BN41" i="11"/>
  <c r="BO41" i="11"/>
  <c r="BP41" i="11"/>
  <c r="BV4" i="7"/>
  <c r="BJ47" i="7"/>
  <c r="BJ49" i="7" s="1"/>
  <c r="BK47" i="7"/>
  <c r="BK49" i="7" s="1"/>
  <c r="Q8" i="8"/>
  <c r="BT8" i="8" s="1"/>
  <c r="BP41" i="8"/>
  <c r="BO41" i="8"/>
  <c r="BN41" i="8"/>
  <c r="BP42" i="8"/>
  <c r="BO42" i="8"/>
  <c r="BN42" i="8"/>
  <c r="P37" i="8"/>
  <c r="BQ30" i="8"/>
  <c r="BU6" i="8"/>
  <c r="BT6" i="8"/>
  <c r="BS6" i="8"/>
  <c r="BU14" i="8"/>
  <c r="BT14" i="8"/>
  <c r="BS14" i="8"/>
  <c r="BS7" i="8"/>
  <c r="BU7" i="8"/>
  <c r="BT7" i="8"/>
  <c r="BO40" i="8"/>
  <c r="BP40" i="8"/>
  <c r="BN40" i="8"/>
  <c r="Q7" i="5"/>
  <c r="Q6" i="5"/>
  <c r="BU6" i="5" s="1"/>
  <c r="Q14" i="5"/>
  <c r="P16" i="5"/>
  <c r="BP30" i="5"/>
  <c r="BQ30" i="5" s="1"/>
  <c r="P30" i="5" s="1"/>
  <c r="BI47" i="7"/>
  <c r="BL33" i="7"/>
  <c r="O33" i="7" s="1"/>
  <c r="BL35" i="7"/>
  <c r="O35" i="7" s="1"/>
  <c r="BL36" i="7"/>
  <c r="O36" i="7" s="1"/>
  <c r="BN26" i="7"/>
  <c r="BN27" i="7"/>
  <c r="BN24" i="7"/>
  <c r="BN28" i="7"/>
  <c r="BN16" i="7"/>
  <c r="BN21" i="7"/>
  <c r="BN23" i="7"/>
  <c r="BN25" i="7"/>
  <c r="BN22" i="7"/>
  <c r="BO17" i="7"/>
  <c r="BO18" i="7" s="1"/>
  <c r="BP42" i="5"/>
  <c r="BO42" i="5"/>
  <c r="BN42" i="5"/>
  <c r="BQ41" i="5"/>
  <c r="BP37" i="5"/>
  <c r="BO37" i="5"/>
  <c r="BN37" i="5"/>
  <c r="BQ40" i="5"/>
  <c r="AQ41" i="1"/>
  <c r="AP41" i="1"/>
  <c r="AO41" i="1"/>
  <c r="AO40" i="1"/>
  <c r="AP40" i="1"/>
  <c r="AQ40" i="1"/>
  <c r="BV8" i="12" l="1"/>
  <c r="P41" i="13"/>
  <c r="P40" i="13"/>
  <c r="O49" i="13"/>
  <c r="BO25" i="13"/>
  <c r="BO28" i="13"/>
  <c r="BO26" i="13"/>
  <c r="BO27" i="13"/>
  <c r="BO24" i="13"/>
  <c r="BO16" i="13"/>
  <c r="BO22" i="13"/>
  <c r="BO21" i="13"/>
  <c r="BO23" i="13"/>
  <c r="BP17" i="13"/>
  <c r="BQ17" i="13" s="1"/>
  <c r="P17" i="13" s="1"/>
  <c r="BT14" i="5"/>
  <c r="BQ34" i="12"/>
  <c r="BP36" i="12"/>
  <c r="BO36" i="12"/>
  <c r="BN36" i="12"/>
  <c r="BZ4" i="12"/>
  <c r="BX4" i="12"/>
  <c r="BY4" i="12"/>
  <c r="BQ43" i="12"/>
  <c r="BO33" i="12"/>
  <c r="BP33" i="12"/>
  <c r="BN33" i="12"/>
  <c r="BV45" i="12"/>
  <c r="BP35" i="12"/>
  <c r="BO35" i="12"/>
  <c r="BN35" i="12"/>
  <c r="BS27" i="12"/>
  <c r="BS24" i="12"/>
  <c r="BS28" i="12"/>
  <c r="BS22" i="12"/>
  <c r="BS21" i="12"/>
  <c r="BS26" i="12"/>
  <c r="BS23" i="12"/>
  <c r="BS16" i="12"/>
  <c r="BS25" i="12"/>
  <c r="BT17" i="12"/>
  <c r="BT18" i="12" s="1"/>
  <c r="BV39" i="12"/>
  <c r="BQ40" i="11"/>
  <c r="BP30" i="11"/>
  <c r="BQ21" i="11"/>
  <c r="P42" i="11"/>
  <c r="Q14" i="11"/>
  <c r="P16" i="11"/>
  <c r="Q7" i="11"/>
  <c r="Q6" i="11"/>
  <c r="BQ41" i="11"/>
  <c r="BQ42" i="8"/>
  <c r="BS8" i="8"/>
  <c r="BS17" i="8" s="1"/>
  <c r="BU8" i="8"/>
  <c r="BS6" i="5"/>
  <c r="BT6" i="5"/>
  <c r="BQ41" i="8"/>
  <c r="BQ40" i="8"/>
  <c r="BV14" i="8"/>
  <c r="BN37" i="8"/>
  <c r="BO37" i="8"/>
  <c r="BP37" i="8"/>
  <c r="BV7" i="8"/>
  <c r="P30" i="8"/>
  <c r="BV6" i="8"/>
  <c r="Q8" i="5"/>
  <c r="BS8" i="5" s="1"/>
  <c r="BS7" i="5"/>
  <c r="BT7" i="5"/>
  <c r="BU7" i="5"/>
  <c r="BU14" i="5"/>
  <c r="BS14" i="5"/>
  <c r="BQ37" i="5"/>
  <c r="BN30" i="7"/>
  <c r="BO27" i="7"/>
  <c r="BO24" i="7"/>
  <c r="BO16" i="7"/>
  <c r="BO26" i="7"/>
  <c r="BO22" i="7"/>
  <c r="BO21" i="7"/>
  <c r="BO28" i="7"/>
  <c r="BO23" i="7"/>
  <c r="BO25" i="7"/>
  <c r="BP17" i="7"/>
  <c r="BP18" i="7" s="1"/>
  <c r="BL47" i="7"/>
  <c r="BI49" i="7"/>
  <c r="BQ42" i="5"/>
  <c r="Q39" i="5"/>
  <c r="Q45" i="5"/>
  <c r="P43" i="5"/>
  <c r="AR40" i="1"/>
  <c r="J40" i="1" s="1"/>
  <c r="AR41" i="1"/>
  <c r="J41" i="1" s="1"/>
  <c r="AR4" i="1"/>
  <c r="AM4" i="1"/>
  <c r="AR8" i="1"/>
  <c r="BV6" i="5" l="1"/>
  <c r="BO30" i="13"/>
  <c r="BP18" i="13"/>
  <c r="BO40" i="13"/>
  <c r="BP40" i="13"/>
  <c r="BN40" i="13"/>
  <c r="BO41" i="13"/>
  <c r="BP41" i="13"/>
  <c r="BN41" i="13"/>
  <c r="BQ36" i="12"/>
  <c r="BQ35" i="12"/>
  <c r="BP47" i="12"/>
  <c r="BP49" i="12" s="1"/>
  <c r="BO47" i="12"/>
  <c r="BO49" i="12" s="1"/>
  <c r="CA4" i="12"/>
  <c r="BT28" i="12"/>
  <c r="BT27" i="12"/>
  <c r="BT26" i="12"/>
  <c r="BT22" i="12"/>
  <c r="BT21" i="12"/>
  <c r="BT25" i="12"/>
  <c r="BT24" i="12"/>
  <c r="BT23" i="12"/>
  <c r="BT16" i="12"/>
  <c r="BU17" i="12"/>
  <c r="BV17" i="12" s="1"/>
  <c r="Q17" i="12" s="1"/>
  <c r="BN47" i="12"/>
  <c r="BQ33" i="12"/>
  <c r="BS30" i="12"/>
  <c r="Q8" i="11"/>
  <c r="BU8" i="11" s="1"/>
  <c r="BP42" i="11"/>
  <c r="BO42" i="11"/>
  <c r="BN42" i="11"/>
  <c r="P37" i="11"/>
  <c r="BQ30" i="11"/>
  <c r="BU6" i="11"/>
  <c r="BT6" i="11"/>
  <c r="BS6" i="11"/>
  <c r="BS7" i="11"/>
  <c r="BU7" i="11"/>
  <c r="BT7" i="11"/>
  <c r="BS14" i="11"/>
  <c r="BU14" i="11"/>
  <c r="BT14" i="11"/>
  <c r="BQ17" i="7"/>
  <c r="P17" i="7" s="1"/>
  <c r="BV8" i="8"/>
  <c r="BV7" i="5"/>
  <c r="BS18" i="8"/>
  <c r="Q45" i="8"/>
  <c r="P43" i="8"/>
  <c r="Q39" i="8"/>
  <c r="BQ37" i="8"/>
  <c r="BU8" i="5"/>
  <c r="BT8" i="5"/>
  <c r="BV8" i="5" s="1"/>
  <c r="BS17" i="5"/>
  <c r="BS18" i="5" s="1"/>
  <c r="BV14" i="5"/>
  <c r="BP27" i="7"/>
  <c r="BQ27" i="7" s="1"/>
  <c r="BP25" i="7"/>
  <c r="BQ25" i="7" s="1"/>
  <c r="BP28" i="7"/>
  <c r="BQ28" i="7" s="1"/>
  <c r="BP26" i="7"/>
  <c r="BQ26" i="7" s="1"/>
  <c r="BP21" i="7"/>
  <c r="BP23" i="7"/>
  <c r="BQ23" i="7" s="1"/>
  <c r="BP24" i="7"/>
  <c r="BQ24" i="7" s="1"/>
  <c r="BQ18" i="7"/>
  <c r="P18" i="7" s="1"/>
  <c r="BP22" i="7"/>
  <c r="BQ22" i="7" s="1"/>
  <c r="BP16" i="7"/>
  <c r="BQ16" i="7" s="1"/>
  <c r="BO30" i="7"/>
  <c r="N47" i="7"/>
  <c r="O47" i="7" s="1"/>
  <c r="BL49" i="7"/>
  <c r="N49" i="7" s="1"/>
  <c r="BN34" i="5"/>
  <c r="P36" i="5"/>
  <c r="BP34" i="5"/>
  <c r="P33" i="5"/>
  <c r="BO34" i="5"/>
  <c r="P35" i="5"/>
  <c r="BP43" i="5"/>
  <c r="BO43" i="5"/>
  <c r="BN43" i="5"/>
  <c r="BU45" i="5"/>
  <c r="BT45" i="5"/>
  <c r="BS45" i="5"/>
  <c r="R4" i="5"/>
  <c r="BT39" i="5"/>
  <c r="BU39" i="5"/>
  <c r="BS39" i="5"/>
  <c r="AO17" i="1"/>
  <c r="BQ42" i="11" l="1"/>
  <c r="BQ40" i="13"/>
  <c r="BQ41" i="13"/>
  <c r="BP27" i="13"/>
  <c r="BQ27" i="13" s="1"/>
  <c r="BP28" i="13"/>
  <c r="BQ28" i="13" s="1"/>
  <c r="BP23" i="13"/>
  <c r="BQ23" i="13" s="1"/>
  <c r="BP24" i="13"/>
  <c r="BQ24" i="13" s="1"/>
  <c r="BP22" i="13"/>
  <c r="BQ22" i="13" s="1"/>
  <c r="BP21" i="13"/>
  <c r="BP26" i="13"/>
  <c r="BQ26" i="13" s="1"/>
  <c r="BP16" i="13"/>
  <c r="BQ16" i="13" s="1"/>
  <c r="BP25" i="13"/>
  <c r="BQ25" i="13" s="1"/>
  <c r="BQ18" i="13"/>
  <c r="P18" i="13" s="1"/>
  <c r="BT30" i="12"/>
  <c r="BU18" i="12"/>
  <c r="BQ47" i="12"/>
  <c r="P47" i="12" s="1"/>
  <c r="BN49" i="12"/>
  <c r="BV6" i="11"/>
  <c r="BS8" i="11"/>
  <c r="BS17" i="11" s="1"/>
  <c r="BT8" i="11"/>
  <c r="BV14" i="11"/>
  <c r="P30" i="11"/>
  <c r="BV7" i="11"/>
  <c r="BO37" i="11"/>
  <c r="BP37" i="11"/>
  <c r="BN37" i="11"/>
  <c r="BT39" i="8"/>
  <c r="BS39" i="8"/>
  <c r="BU39" i="8"/>
  <c r="BP43" i="8"/>
  <c r="BP47" i="8" s="1"/>
  <c r="BP49" i="8" s="1"/>
  <c r="BO43" i="8"/>
  <c r="BO47" i="8" s="1"/>
  <c r="BO49" i="8" s="1"/>
  <c r="BN43" i="8"/>
  <c r="BS45" i="8"/>
  <c r="BU45" i="8"/>
  <c r="BT45" i="8"/>
  <c r="R4" i="8"/>
  <c r="BS28" i="8"/>
  <c r="BS26" i="8"/>
  <c r="BS22" i="8"/>
  <c r="BS21" i="8"/>
  <c r="BS25" i="8"/>
  <c r="BS24" i="8"/>
  <c r="BS16" i="8"/>
  <c r="BS27" i="8"/>
  <c r="BS23" i="8"/>
  <c r="BT17" i="8"/>
  <c r="BT18" i="8" s="1"/>
  <c r="BV45" i="5"/>
  <c r="BP30" i="7"/>
  <c r="BQ21" i="7"/>
  <c r="P42" i="7"/>
  <c r="Q7" i="7"/>
  <c r="P16" i="7"/>
  <c r="Q6" i="7"/>
  <c r="Q14" i="7"/>
  <c r="P41" i="7"/>
  <c r="P40" i="7"/>
  <c r="O49" i="7"/>
  <c r="BP35" i="5"/>
  <c r="BO35" i="5"/>
  <c r="BN35" i="5"/>
  <c r="BP33" i="5"/>
  <c r="BO33" i="5"/>
  <c r="BN33" i="5"/>
  <c r="BP36" i="5"/>
  <c r="BO36" i="5"/>
  <c r="BN36" i="5"/>
  <c r="BY4" i="5"/>
  <c r="BX4" i="5"/>
  <c r="BZ4" i="5"/>
  <c r="BQ43" i="5"/>
  <c r="BQ34" i="5"/>
  <c r="BV39" i="5"/>
  <c r="BS23" i="5"/>
  <c r="BS28" i="5"/>
  <c r="BS24" i="5"/>
  <c r="BS27" i="5"/>
  <c r="BS25" i="5"/>
  <c r="BS16" i="5"/>
  <c r="BS26" i="5"/>
  <c r="BS22" i="5"/>
  <c r="BS21" i="5"/>
  <c r="BT17" i="5"/>
  <c r="BT18" i="5" s="1"/>
  <c r="AO18" i="1"/>
  <c r="BP30" i="13" l="1"/>
  <c r="BQ21" i="13"/>
  <c r="P42" i="13"/>
  <c r="Q7" i="13"/>
  <c r="Q6" i="13"/>
  <c r="P16" i="13"/>
  <c r="Q14" i="13"/>
  <c r="BV8" i="11"/>
  <c r="BU25" i="12"/>
  <c r="BV25" i="12" s="1"/>
  <c r="BU24" i="12"/>
  <c r="BV24" i="12" s="1"/>
  <c r="BU28" i="12"/>
  <c r="BV28" i="12" s="1"/>
  <c r="BU27" i="12"/>
  <c r="BV27" i="12" s="1"/>
  <c r="BU22" i="12"/>
  <c r="BV22" i="12" s="1"/>
  <c r="BU21" i="12"/>
  <c r="BU23" i="12"/>
  <c r="BV23" i="12" s="1"/>
  <c r="BU16" i="12"/>
  <c r="BV16" i="12" s="1"/>
  <c r="BV18" i="12"/>
  <c r="Q18" i="12" s="1"/>
  <c r="BU26" i="12"/>
  <c r="BV26" i="12" s="1"/>
  <c r="BQ49" i="12"/>
  <c r="P49" i="12" s="1"/>
  <c r="BQ37" i="11"/>
  <c r="BS18" i="11"/>
  <c r="Q45" i="11"/>
  <c r="P43" i="11"/>
  <c r="Q39" i="11"/>
  <c r="P34" i="11"/>
  <c r="BV45" i="8"/>
  <c r="BT27" i="8"/>
  <c r="BT25" i="8"/>
  <c r="BT28" i="8"/>
  <c r="BT23" i="8"/>
  <c r="BT26" i="8"/>
  <c r="BT24" i="8"/>
  <c r="BT16" i="8"/>
  <c r="BT22" i="8"/>
  <c r="BT21" i="8"/>
  <c r="BU17" i="8"/>
  <c r="BV17" i="8" s="1"/>
  <c r="Q17" i="8" s="1"/>
  <c r="BS30" i="8"/>
  <c r="BQ43" i="8"/>
  <c r="BN47" i="8"/>
  <c r="BZ4" i="8"/>
  <c r="BY4" i="8"/>
  <c r="BX4" i="8"/>
  <c r="BV39" i="8"/>
  <c r="BO47" i="5"/>
  <c r="BO49" i="5" s="1"/>
  <c r="BQ36" i="5"/>
  <c r="BP42" i="7"/>
  <c r="BO42" i="7"/>
  <c r="BN42" i="7"/>
  <c r="P37" i="7"/>
  <c r="BN41" i="7"/>
  <c r="BO41" i="7"/>
  <c r="BP41" i="7"/>
  <c r="BQ30" i="7"/>
  <c r="BU14" i="7"/>
  <c r="BT14" i="7"/>
  <c r="BS14" i="7"/>
  <c r="BS6" i="7"/>
  <c r="BU6" i="7"/>
  <c r="BT6" i="7"/>
  <c r="BP40" i="7"/>
  <c r="BN40" i="7"/>
  <c r="BO40" i="7"/>
  <c r="Q8" i="7"/>
  <c r="BT7" i="7"/>
  <c r="BU7" i="7"/>
  <c r="BS7" i="7"/>
  <c r="BN47" i="5"/>
  <c r="BQ33" i="5"/>
  <c r="BP47" i="5"/>
  <c r="BP49" i="5" s="1"/>
  <c r="BS30" i="5"/>
  <c r="CA4" i="5"/>
  <c r="BQ35" i="5"/>
  <c r="BT28" i="5"/>
  <c r="BT24" i="5"/>
  <c r="BT27" i="5"/>
  <c r="BT25" i="5"/>
  <c r="BT26" i="5"/>
  <c r="BT22" i="5"/>
  <c r="BT23" i="5"/>
  <c r="BT16" i="5"/>
  <c r="BT21" i="5"/>
  <c r="BU17" i="5"/>
  <c r="BU18" i="5" s="1"/>
  <c r="AO26" i="1"/>
  <c r="AP17" i="1"/>
  <c r="AP18" i="1" s="1"/>
  <c r="AO16" i="1"/>
  <c r="AO28" i="1"/>
  <c r="AO23" i="1"/>
  <c r="AO27" i="1"/>
  <c r="AO21" i="1"/>
  <c r="AO25" i="1"/>
  <c r="AO24" i="1"/>
  <c r="AO22" i="1"/>
  <c r="BU6" i="13" l="1"/>
  <c r="BT6" i="13"/>
  <c r="BS6" i="13"/>
  <c r="BV6" i="13" s="1"/>
  <c r="BS7" i="13"/>
  <c r="BT7" i="13"/>
  <c r="BU7" i="13"/>
  <c r="BP42" i="13"/>
  <c r="BN42" i="13"/>
  <c r="BO42" i="13"/>
  <c r="Q8" i="13"/>
  <c r="P37" i="13"/>
  <c r="BU14" i="13"/>
  <c r="BT14" i="13"/>
  <c r="BS14" i="13"/>
  <c r="BQ30" i="13"/>
  <c r="Q41" i="12"/>
  <c r="Q40" i="12"/>
  <c r="Q42" i="12"/>
  <c r="Q16" i="12"/>
  <c r="R14" i="12"/>
  <c r="R6" i="12"/>
  <c r="R7" i="12"/>
  <c r="BU30" i="12"/>
  <c r="BV21" i="12"/>
  <c r="P35" i="11"/>
  <c r="BP34" i="11"/>
  <c r="BO34" i="11"/>
  <c r="BN34" i="11"/>
  <c r="P33" i="11"/>
  <c r="P36" i="11"/>
  <c r="BS39" i="11"/>
  <c r="BT39" i="11"/>
  <c r="BU39" i="11"/>
  <c r="BO43" i="11"/>
  <c r="BN43" i="11"/>
  <c r="BP43" i="11"/>
  <c r="BS45" i="11"/>
  <c r="BT45" i="11"/>
  <c r="BU45" i="11"/>
  <c r="R4" i="11"/>
  <c r="BS28" i="11"/>
  <c r="BS26" i="11"/>
  <c r="BS25" i="11"/>
  <c r="BS23" i="11"/>
  <c r="BS16" i="11"/>
  <c r="BS22" i="11"/>
  <c r="BS27" i="11"/>
  <c r="BS21" i="11"/>
  <c r="BS24" i="11"/>
  <c r="BT17" i="11"/>
  <c r="BV7" i="7"/>
  <c r="BQ40" i="7"/>
  <c r="BQ42" i="7"/>
  <c r="BU18" i="8"/>
  <c r="BT30" i="8"/>
  <c r="CA4" i="8"/>
  <c r="BQ47" i="8"/>
  <c r="BN49" i="8"/>
  <c r="BV17" i="5"/>
  <c r="Q17" i="5" s="1"/>
  <c r="BV14" i="7"/>
  <c r="BN37" i="7"/>
  <c r="BP37" i="7"/>
  <c r="BO37" i="7"/>
  <c r="P30" i="7"/>
  <c r="BV6" i="7"/>
  <c r="BU8" i="7"/>
  <c r="BS8" i="7"/>
  <c r="BT8" i="7"/>
  <c r="BQ41" i="7"/>
  <c r="BU28" i="5"/>
  <c r="BV28" i="5" s="1"/>
  <c r="BU24" i="5"/>
  <c r="BV24" i="5" s="1"/>
  <c r="BU27" i="5"/>
  <c r="BV27" i="5" s="1"/>
  <c r="BU25" i="5"/>
  <c r="BV25" i="5" s="1"/>
  <c r="BU16" i="5"/>
  <c r="BV16" i="5" s="1"/>
  <c r="BU26" i="5"/>
  <c r="BV26" i="5" s="1"/>
  <c r="BV18" i="5"/>
  <c r="Q18" i="5" s="1"/>
  <c r="BU21" i="5"/>
  <c r="BU22" i="5"/>
  <c r="BV22" i="5" s="1"/>
  <c r="BU23" i="5"/>
  <c r="BV23" i="5" s="1"/>
  <c r="BQ47" i="5"/>
  <c r="BN49" i="5"/>
  <c r="BT30" i="5"/>
  <c r="AO30" i="1"/>
  <c r="AP23" i="1"/>
  <c r="AP16" i="1"/>
  <c r="AP22" i="1"/>
  <c r="AP25" i="1"/>
  <c r="AP24" i="1"/>
  <c r="AQ17" i="1"/>
  <c r="AQ18" i="1" s="1"/>
  <c r="AP21" i="1"/>
  <c r="AP26" i="1"/>
  <c r="AP27" i="1"/>
  <c r="AP28" i="1"/>
  <c r="R8" i="12" l="1"/>
  <c r="BY8" i="12" s="1"/>
  <c r="BP37" i="13"/>
  <c r="BO37" i="13"/>
  <c r="BN37" i="13"/>
  <c r="BV7" i="13"/>
  <c r="BT8" i="13"/>
  <c r="BU8" i="13"/>
  <c r="BS8" i="13"/>
  <c r="BQ42" i="13"/>
  <c r="P30" i="13"/>
  <c r="BV14" i="13"/>
  <c r="BV39" i="11"/>
  <c r="Q37" i="12"/>
  <c r="BZ6" i="12"/>
  <c r="BX6" i="12"/>
  <c r="BY6" i="12"/>
  <c r="BU40" i="12"/>
  <c r="BT40" i="12"/>
  <c r="BS40" i="12"/>
  <c r="BT41" i="12"/>
  <c r="BS41" i="12"/>
  <c r="BU41" i="12"/>
  <c r="BT42" i="12"/>
  <c r="BU42" i="12"/>
  <c r="BS42" i="12"/>
  <c r="BY7" i="12"/>
  <c r="BZ7" i="12"/>
  <c r="BX7" i="12"/>
  <c r="BX14" i="12"/>
  <c r="BY14" i="12"/>
  <c r="BZ14" i="12"/>
  <c r="BV30" i="12"/>
  <c r="Q30" i="12" s="1"/>
  <c r="BQ34" i="11"/>
  <c r="BS30" i="11"/>
  <c r="BZ4" i="11"/>
  <c r="BY4" i="11"/>
  <c r="BX4" i="11"/>
  <c r="BN36" i="11"/>
  <c r="BP36" i="11"/>
  <c r="BO36" i="11"/>
  <c r="BV45" i="11"/>
  <c r="BN33" i="11"/>
  <c r="BP33" i="11"/>
  <c r="BO33" i="11"/>
  <c r="BQ43" i="11"/>
  <c r="BT18" i="11"/>
  <c r="BN35" i="11"/>
  <c r="BP35" i="11"/>
  <c r="BO35" i="11"/>
  <c r="BU27" i="8"/>
  <c r="BV27" i="8" s="1"/>
  <c r="BU25" i="8"/>
  <c r="BV25" i="8" s="1"/>
  <c r="BU24" i="8"/>
  <c r="BV24" i="8" s="1"/>
  <c r="BU28" i="8"/>
  <c r="BV28" i="8" s="1"/>
  <c r="BU23" i="8"/>
  <c r="BV23" i="8" s="1"/>
  <c r="BV18" i="8"/>
  <c r="Q18" i="8" s="1"/>
  <c r="BU22" i="8"/>
  <c r="BV22" i="8" s="1"/>
  <c r="BU21" i="8"/>
  <c r="BU26" i="8"/>
  <c r="BV26" i="8" s="1"/>
  <c r="BU16" i="8"/>
  <c r="BV16" i="8" s="1"/>
  <c r="P47" i="8"/>
  <c r="BQ49" i="8"/>
  <c r="P49" i="8" s="1"/>
  <c r="BS17" i="7"/>
  <c r="BV8" i="7"/>
  <c r="Q45" i="7"/>
  <c r="Q39" i="7"/>
  <c r="P43" i="7"/>
  <c r="P34" i="7"/>
  <c r="BQ37" i="7"/>
  <c r="Q42" i="5"/>
  <c r="R14" i="5"/>
  <c r="Q16" i="5"/>
  <c r="R6" i="5"/>
  <c r="R7" i="5"/>
  <c r="BU30" i="5"/>
  <c r="BV30" i="5" s="1"/>
  <c r="BV21" i="5"/>
  <c r="P47" i="5"/>
  <c r="BQ49" i="5"/>
  <c r="P49" i="5" s="1"/>
  <c r="AQ25" i="1"/>
  <c r="AR25" i="1" s="1"/>
  <c r="J25" i="1" s="1"/>
  <c r="AQ24" i="1"/>
  <c r="AR24" i="1" s="1"/>
  <c r="J24" i="1" s="1"/>
  <c r="AQ28" i="1"/>
  <c r="AR28" i="1" s="1"/>
  <c r="J28" i="1" s="1"/>
  <c r="AQ26" i="1"/>
  <c r="AR26" i="1" s="1"/>
  <c r="J26" i="1" s="1"/>
  <c r="AQ22" i="1"/>
  <c r="AR22" i="1" s="1"/>
  <c r="J22" i="1" s="1"/>
  <c r="AQ23" i="1"/>
  <c r="AR23" i="1" s="1"/>
  <c r="J23" i="1" s="1"/>
  <c r="AQ27" i="1"/>
  <c r="AR27" i="1" s="1"/>
  <c r="J27" i="1" s="1"/>
  <c r="J18" i="1"/>
  <c r="AQ16" i="1"/>
  <c r="AR16" i="1" s="1"/>
  <c r="AQ21" i="1"/>
  <c r="AR21" i="1" s="1"/>
  <c r="AR18" i="1"/>
  <c r="I18" i="1" s="1"/>
  <c r="AP30" i="1"/>
  <c r="AR17" i="1"/>
  <c r="I17" i="1" s="1"/>
  <c r="BX8" i="12" l="1"/>
  <c r="BX17" i="12" s="1"/>
  <c r="BQ37" i="13"/>
  <c r="BS17" i="13"/>
  <c r="BV8" i="13"/>
  <c r="Q45" i="13"/>
  <c r="P43" i="13"/>
  <c r="Q39" i="13"/>
  <c r="P34" i="13"/>
  <c r="BV40" i="12"/>
  <c r="R45" i="12"/>
  <c r="S4" i="12" s="1"/>
  <c r="T4" i="12" s="1"/>
  <c r="Q43" i="12"/>
  <c r="Q34" i="12"/>
  <c r="R39" i="12"/>
  <c r="CA7" i="12"/>
  <c r="BZ8" i="12"/>
  <c r="CA8" i="12" s="1"/>
  <c r="CA14" i="12"/>
  <c r="BV41" i="12"/>
  <c r="BV42" i="12"/>
  <c r="CA6" i="12"/>
  <c r="BT37" i="12"/>
  <c r="BU37" i="12"/>
  <c r="BS37" i="12"/>
  <c r="CA4" i="11"/>
  <c r="BP47" i="11"/>
  <c r="BP49" i="11" s="1"/>
  <c r="BQ33" i="11"/>
  <c r="BN47" i="11"/>
  <c r="BQ35" i="11"/>
  <c r="BQ36" i="11"/>
  <c r="BT25" i="11"/>
  <c r="BT26" i="11"/>
  <c r="BT28" i="11"/>
  <c r="BT23" i="11"/>
  <c r="BT16" i="11"/>
  <c r="BT22" i="11"/>
  <c r="BT27" i="11"/>
  <c r="BT21" i="11"/>
  <c r="BT24" i="11"/>
  <c r="BU17" i="11"/>
  <c r="BV17" i="11" s="1"/>
  <c r="Q17" i="11" s="1"/>
  <c r="BO47" i="11"/>
  <c r="BO49" i="11" s="1"/>
  <c r="Q42" i="8"/>
  <c r="Q16" i="8"/>
  <c r="R6" i="8"/>
  <c r="R14" i="8"/>
  <c r="R7" i="8"/>
  <c r="BU30" i="8"/>
  <c r="BV21" i="8"/>
  <c r="Q40" i="8"/>
  <c r="Q41" i="8"/>
  <c r="BO43" i="7"/>
  <c r="BN43" i="7"/>
  <c r="BP43" i="7"/>
  <c r="BS45" i="7"/>
  <c r="BU45" i="7"/>
  <c r="BT45" i="7"/>
  <c r="R4" i="7"/>
  <c r="BS39" i="7"/>
  <c r="BU39" i="7"/>
  <c r="BT39" i="7"/>
  <c r="BS18" i="7"/>
  <c r="P35" i="7"/>
  <c r="BP34" i="7"/>
  <c r="P33" i="7"/>
  <c r="BO34" i="7"/>
  <c r="P36" i="7"/>
  <c r="BN34" i="7"/>
  <c r="Q30" i="5"/>
  <c r="BZ7" i="5"/>
  <c r="BY7" i="5"/>
  <c r="BX7" i="5"/>
  <c r="Q37" i="5"/>
  <c r="BZ6" i="5"/>
  <c r="BY6" i="5"/>
  <c r="BX6" i="5"/>
  <c r="R8" i="5"/>
  <c r="BZ14" i="5"/>
  <c r="BY14" i="5"/>
  <c r="BX14" i="5"/>
  <c r="BU42" i="5"/>
  <c r="BT42" i="5"/>
  <c r="BS42" i="5"/>
  <c r="Q41" i="5"/>
  <c r="Q40" i="5"/>
  <c r="J17" i="1"/>
  <c r="Q20" i="3"/>
  <c r="K14" i="1"/>
  <c r="I37" i="1"/>
  <c r="J21" i="1"/>
  <c r="K7" i="1"/>
  <c r="I16" i="1"/>
  <c r="I42" i="1"/>
  <c r="K6" i="1"/>
  <c r="AQ30" i="1"/>
  <c r="BU39" i="13" l="1"/>
  <c r="BS39" i="13"/>
  <c r="BT39" i="13"/>
  <c r="BO43" i="13"/>
  <c r="BN43" i="13"/>
  <c r="BP43" i="13"/>
  <c r="BT45" i="13"/>
  <c r="BU45" i="13"/>
  <c r="BS45" i="13"/>
  <c r="R4" i="13"/>
  <c r="P36" i="13"/>
  <c r="BO34" i="13"/>
  <c r="P33" i="13"/>
  <c r="P35" i="13"/>
  <c r="BP34" i="13"/>
  <c r="BN34" i="13"/>
  <c r="BS18" i="13"/>
  <c r="Q36" i="12"/>
  <c r="Q35" i="12"/>
  <c r="Q33" i="12"/>
  <c r="BX18" i="12"/>
  <c r="BV37" i="12"/>
  <c r="BT30" i="11"/>
  <c r="BQ47" i="11"/>
  <c r="BN49" i="11"/>
  <c r="BU18" i="11"/>
  <c r="BV39" i="7"/>
  <c r="BS40" i="8"/>
  <c r="BU40" i="8"/>
  <c r="BT40" i="8"/>
  <c r="BX7" i="8"/>
  <c r="BY7" i="8"/>
  <c r="BZ7" i="8"/>
  <c r="Q37" i="8"/>
  <c r="BZ14" i="8"/>
  <c r="BY14" i="8"/>
  <c r="BX14" i="8"/>
  <c r="BV30" i="8"/>
  <c r="BZ6" i="8"/>
  <c r="BY6" i="8"/>
  <c r="BX6" i="8"/>
  <c r="R8" i="8"/>
  <c r="BU41" i="8"/>
  <c r="BS41" i="8"/>
  <c r="BT41" i="8"/>
  <c r="BS42" i="8"/>
  <c r="BU42" i="8"/>
  <c r="BT42" i="8"/>
  <c r="BV42" i="5"/>
  <c r="CA14" i="5"/>
  <c r="CA7" i="5"/>
  <c r="BN33" i="7"/>
  <c r="BO33" i="7"/>
  <c r="BP33" i="7"/>
  <c r="BY4" i="7"/>
  <c r="BX4" i="7"/>
  <c r="BZ4" i="7"/>
  <c r="BS28" i="7"/>
  <c r="BS26" i="7"/>
  <c r="BS27" i="7"/>
  <c r="BS24" i="7"/>
  <c r="BS23" i="7"/>
  <c r="BS22" i="7"/>
  <c r="BS25" i="7"/>
  <c r="BS16" i="7"/>
  <c r="BS21" i="7"/>
  <c r="BT17" i="7"/>
  <c r="BV45" i="7"/>
  <c r="BQ34" i="7"/>
  <c r="BO36" i="7"/>
  <c r="BN36" i="7"/>
  <c r="BP36" i="7"/>
  <c r="BQ43" i="7"/>
  <c r="BN35" i="7"/>
  <c r="BO35" i="7"/>
  <c r="BP35" i="7"/>
  <c r="BS40" i="5"/>
  <c r="BT40" i="5"/>
  <c r="BU40" i="5"/>
  <c r="BU37" i="5"/>
  <c r="BT37" i="5"/>
  <c r="BS37" i="5"/>
  <c r="BY8" i="5"/>
  <c r="BZ8" i="5"/>
  <c r="BX8" i="5"/>
  <c r="CA6" i="5"/>
  <c r="BU41" i="5"/>
  <c r="BT41" i="5"/>
  <c r="BS41" i="5"/>
  <c r="R45" i="5"/>
  <c r="Q43" i="5"/>
  <c r="R39" i="5"/>
  <c r="K8" i="1"/>
  <c r="AV14" i="1"/>
  <c r="AU14" i="1"/>
  <c r="AT14" i="1"/>
  <c r="AV7" i="1"/>
  <c r="AT7" i="1"/>
  <c r="AU7" i="1"/>
  <c r="AU6" i="1"/>
  <c r="AT6" i="1"/>
  <c r="AV6" i="1"/>
  <c r="AP42" i="1"/>
  <c r="AQ42" i="1"/>
  <c r="AO42" i="1"/>
  <c r="AR30" i="1"/>
  <c r="AQ37" i="1"/>
  <c r="AO37" i="1"/>
  <c r="AP37" i="1"/>
  <c r="BQ34" i="13" l="1"/>
  <c r="BP35" i="13"/>
  <c r="BN35" i="13"/>
  <c r="BO35" i="13"/>
  <c r="BP33" i="13"/>
  <c r="BO33" i="13"/>
  <c r="BN33" i="13"/>
  <c r="BQ43" i="13"/>
  <c r="BO36" i="13"/>
  <c r="BN36" i="13"/>
  <c r="BP36" i="13"/>
  <c r="BS26" i="13"/>
  <c r="BS28" i="13"/>
  <c r="BS27" i="13"/>
  <c r="BS22" i="13"/>
  <c r="BS21" i="13"/>
  <c r="BS23" i="13"/>
  <c r="BS25" i="13"/>
  <c r="BS24" i="13"/>
  <c r="BS16" i="13"/>
  <c r="BT17" i="13"/>
  <c r="BT18" i="13" s="1"/>
  <c r="BY4" i="13"/>
  <c r="BZ4" i="13"/>
  <c r="BX4" i="13"/>
  <c r="BV39" i="13"/>
  <c r="BV45" i="13"/>
  <c r="BS34" i="12"/>
  <c r="BU34" i="12"/>
  <c r="BT34" i="12"/>
  <c r="BZ45" i="12"/>
  <c r="BY45" i="12"/>
  <c r="BX45" i="12"/>
  <c r="BS43" i="12"/>
  <c r="BT43" i="12"/>
  <c r="BU43" i="12"/>
  <c r="BX28" i="12"/>
  <c r="BX26" i="12"/>
  <c r="BX25" i="12"/>
  <c r="BX23" i="12"/>
  <c r="BX16" i="12"/>
  <c r="BX27" i="12"/>
  <c r="BX22" i="12"/>
  <c r="BX24" i="12"/>
  <c r="BX21" i="12"/>
  <c r="BY17" i="12"/>
  <c r="BY18" i="12" s="1"/>
  <c r="BX39" i="12"/>
  <c r="BZ39" i="12"/>
  <c r="BY39" i="12"/>
  <c r="BU27" i="11"/>
  <c r="BV27" i="11" s="1"/>
  <c r="BU25" i="11"/>
  <c r="BV25" i="11" s="1"/>
  <c r="BU28" i="11"/>
  <c r="BV28" i="11" s="1"/>
  <c r="BU24" i="11"/>
  <c r="BV24" i="11" s="1"/>
  <c r="BU16" i="11"/>
  <c r="BV16" i="11" s="1"/>
  <c r="BV18" i="11"/>
  <c r="Q18" i="11" s="1"/>
  <c r="BU22" i="11"/>
  <c r="BV22" i="11" s="1"/>
  <c r="BU21" i="11"/>
  <c r="BU26" i="11"/>
  <c r="BV26" i="11" s="1"/>
  <c r="BU23" i="11"/>
  <c r="BV23" i="11" s="1"/>
  <c r="P47" i="11"/>
  <c r="BQ49" i="11"/>
  <c r="P49" i="11" s="1"/>
  <c r="BQ36" i="7"/>
  <c r="CA14" i="8"/>
  <c r="BS37" i="8"/>
  <c r="BT37" i="8"/>
  <c r="BU37" i="8"/>
  <c r="Q30" i="8"/>
  <c r="BY8" i="8"/>
  <c r="BZ8" i="8"/>
  <c r="BX8" i="8"/>
  <c r="CA7" i="8"/>
  <c r="BV42" i="8"/>
  <c r="CA6" i="8"/>
  <c r="BV41" i="8"/>
  <c r="BV40" i="8"/>
  <c r="BV40" i="5"/>
  <c r="CA4" i="7"/>
  <c r="BP47" i="7"/>
  <c r="BP49" i="7" s="1"/>
  <c r="BQ35" i="7"/>
  <c r="BS30" i="7"/>
  <c r="BO47" i="7"/>
  <c r="BO49" i="7" s="1"/>
  <c r="BT18" i="7"/>
  <c r="BN47" i="7"/>
  <c r="BQ33" i="7"/>
  <c r="BX17" i="5"/>
  <c r="CA8" i="5"/>
  <c r="BS34" i="5"/>
  <c r="Q35" i="5"/>
  <c r="BU34" i="5"/>
  <c r="BT34" i="5"/>
  <c r="Q36" i="5"/>
  <c r="Q33" i="5"/>
  <c r="BV37" i="5"/>
  <c r="BU43" i="5"/>
  <c r="BS43" i="5"/>
  <c r="BT43" i="5"/>
  <c r="BZ45" i="5"/>
  <c r="BY45" i="5"/>
  <c r="BX45" i="5"/>
  <c r="S4" i="5"/>
  <c r="BY39" i="5"/>
  <c r="BX39" i="5"/>
  <c r="BZ39" i="5"/>
  <c r="BV41" i="5"/>
  <c r="AW14" i="1"/>
  <c r="AU8" i="1"/>
  <c r="AV8" i="1"/>
  <c r="AT8" i="1"/>
  <c r="AR42" i="1"/>
  <c r="J42" i="1" s="1"/>
  <c r="AW6" i="1"/>
  <c r="AW7" i="1"/>
  <c r="I30" i="1"/>
  <c r="AR37" i="1"/>
  <c r="J37" i="1" s="1"/>
  <c r="BO47" i="13" l="1"/>
  <c r="BO49" i="13" s="1"/>
  <c r="BP47" i="13"/>
  <c r="BP49" i="13" s="1"/>
  <c r="BT25" i="13"/>
  <c r="BT26" i="13"/>
  <c r="BT24" i="13"/>
  <c r="BT22" i="13"/>
  <c r="BT21" i="13"/>
  <c r="BT28" i="13"/>
  <c r="BT16" i="13"/>
  <c r="BT27" i="13"/>
  <c r="BT23" i="13"/>
  <c r="BU17" i="13"/>
  <c r="BU18" i="13" s="1"/>
  <c r="BQ33" i="13"/>
  <c r="BN47" i="13"/>
  <c r="BQ35" i="13"/>
  <c r="BQ36" i="13"/>
  <c r="CA4" i="13"/>
  <c r="BS30" i="13"/>
  <c r="BV43" i="12"/>
  <c r="BX30" i="12"/>
  <c r="BT33" i="12"/>
  <c r="BS33" i="12"/>
  <c r="BU33" i="12"/>
  <c r="BY28" i="12"/>
  <c r="BY26" i="12"/>
  <c r="BY22" i="12"/>
  <c r="BY21" i="12"/>
  <c r="BY27" i="12"/>
  <c r="BY16" i="12"/>
  <c r="BY24" i="12"/>
  <c r="BY25" i="12"/>
  <c r="BY23" i="12"/>
  <c r="BZ17" i="12"/>
  <c r="CA17" i="12" s="1"/>
  <c r="R17" i="12" s="1"/>
  <c r="BU35" i="12"/>
  <c r="BT35" i="12"/>
  <c r="BS35" i="12"/>
  <c r="BS36" i="12"/>
  <c r="BU36" i="12"/>
  <c r="BT36" i="12"/>
  <c r="CA39" i="12"/>
  <c r="CE4" i="12"/>
  <c r="CC4" i="12"/>
  <c r="CD4" i="12"/>
  <c r="CA45" i="12"/>
  <c r="BV34" i="12"/>
  <c r="BU30" i="11"/>
  <c r="BV21" i="11"/>
  <c r="Q42" i="11"/>
  <c r="Q16" i="11"/>
  <c r="R14" i="11"/>
  <c r="R6" i="11"/>
  <c r="R7" i="11"/>
  <c r="Q41" i="11"/>
  <c r="Q40" i="11"/>
  <c r="R39" i="8"/>
  <c r="R45" i="8"/>
  <c r="Q43" i="8"/>
  <c r="CA8" i="8"/>
  <c r="BX17" i="8"/>
  <c r="BV37" i="8"/>
  <c r="BV43" i="5"/>
  <c r="BQ47" i="7"/>
  <c r="BN49" i="7"/>
  <c r="BT27" i="7"/>
  <c r="BT28" i="7"/>
  <c r="BT26" i="7"/>
  <c r="BT22" i="7"/>
  <c r="BT21" i="7"/>
  <c r="BT24" i="7"/>
  <c r="BT16" i="7"/>
  <c r="BT23" i="7"/>
  <c r="BT25" i="7"/>
  <c r="BU17" i="7"/>
  <c r="BV17" i="7" s="1"/>
  <c r="Q17" i="7" s="1"/>
  <c r="BX18" i="5"/>
  <c r="BU35" i="5"/>
  <c r="BT35" i="5"/>
  <c r="BS35" i="5"/>
  <c r="CA39" i="5"/>
  <c r="BV34" i="5"/>
  <c r="CC4" i="5"/>
  <c r="CE4" i="5"/>
  <c r="CD4" i="5"/>
  <c r="T4" i="5"/>
  <c r="CA45" i="5"/>
  <c r="BS33" i="5"/>
  <c r="BU33" i="5"/>
  <c r="BT33" i="5"/>
  <c r="BS36" i="5"/>
  <c r="BU36" i="5"/>
  <c r="BT36" i="5"/>
  <c r="J30" i="1"/>
  <c r="I43" i="1"/>
  <c r="K39" i="1"/>
  <c r="I34" i="1"/>
  <c r="K45" i="1"/>
  <c r="AT17" i="1"/>
  <c r="AW8" i="1"/>
  <c r="BV17" i="13" l="1"/>
  <c r="Q17" i="13" s="1"/>
  <c r="BU27" i="13"/>
  <c r="BV27" i="13" s="1"/>
  <c r="BU22" i="13"/>
  <c r="BV22" i="13" s="1"/>
  <c r="BU21" i="13"/>
  <c r="BU23" i="13"/>
  <c r="BV23" i="13" s="1"/>
  <c r="BU25" i="13"/>
  <c r="BV25" i="13" s="1"/>
  <c r="BU24" i="13"/>
  <c r="BV24" i="13" s="1"/>
  <c r="BU16" i="13"/>
  <c r="BV16" i="13" s="1"/>
  <c r="BU26" i="13"/>
  <c r="BV26" i="13" s="1"/>
  <c r="BV18" i="13"/>
  <c r="Q18" i="13" s="1"/>
  <c r="BU28" i="13"/>
  <c r="BV28" i="13" s="1"/>
  <c r="BQ47" i="13"/>
  <c r="BN49" i="13"/>
  <c r="BT30" i="13"/>
  <c r="BU47" i="12"/>
  <c r="BU49" i="12" s="1"/>
  <c r="BV35" i="12"/>
  <c r="CF4" i="12"/>
  <c r="BZ18" i="12"/>
  <c r="BS47" i="12"/>
  <c r="BV33" i="12"/>
  <c r="BT47" i="12"/>
  <c r="BT49" i="12" s="1"/>
  <c r="BY30" i="12"/>
  <c r="BV36" i="12"/>
  <c r="R8" i="11"/>
  <c r="BX8" i="11" s="1"/>
  <c r="BZ6" i="11"/>
  <c r="BY6" i="11"/>
  <c r="BX6" i="11"/>
  <c r="BY14" i="11"/>
  <c r="BZ14" i="11"/>
  <c r="BX14" i="11"/>
  <c r="BU40" i="11"/>
  <c r="BT40" i="11"/>
  <c r="BS40" i="11"/>
  <c r="BT41" i="11"/>
  <c r="BS41" i="11"/>
  <c r="BU41" i="11"/>
  <c r="BT42" i="11"/>
  <c r="BU42" i="11"/>
  <c r="BS42" i="11"/>
  <c r="Q37" i="11"/>
  <c r="BY7" i="11"/>
  <c r="BZ7" i="11"/>
  <c r="BX7" i="11"/>
  <c r="BV30" i="11"/>
  <c r="BU18" i="7"/>
  <c r="BU23" i="7" s="1"/>
  <c r="BV23" i="7" s="1"/>
  <c r="BS43" i="8"/>
  <c r="BU43" i="8"/>
  <c r="BU47" i="8" s="1"/>
  <c r="BU49" i="8" s="1"/>
  <c r="BT43" i="8"/>
  <c r="BT47" i="8" s="1"/>
  <c r="BT49" i="8" s="1"/>
  <c r="BZ45" i="8"/>
  <c r="BY45" i="8"/>
  <c r="BX45" i="8"/>
  <c r="S4" i="8"/>
  <c r="BZ39" i="8"/>
  <c r="BY39" i="8"/>
  <c r="BX39" i="8"/>
  <c r="BX18" i="8"/>
  <c r="BV35" i="5"/>
  <c r="P47" i="7"/>
  <c r="BQ49" i="7"/>
  <c r="P49" i="7" s="1"/>
  <c r="BT30" i="7"/>
  <c r="BV36" i="5"/>
  <c r="BS47" i="5"/>
  <c r="BV33" i="5"/>
  <c r="BT47" i="5"/>
  <c r="BT49" i="5" s="1"/>
  <c r="CF4" i="5"/>
  <c r="BU47" i="5"/>
  <c r="BU49" i="5" s="1"/>
  <c r="BX27" i="5"/>
  <c r="BX25" i="5"/>
  <c r="BX26" i="5"/>
  <c r="BX22" i="5"/>
  <c r="BX21" i="5"/>
  <c r="BX28" i="5"/>
  <c r="BX23" i="5"/>
  <c r="BX24" i="5"/>
  <c r="BX16" i="5"/>
  <c r="BY17" i="5"/>
  <c r="BY18" i="5" s="1"/>
  <c r="AT18" i="1"/>
  <c r="I35" i="1"/>
  <c r="AQ34" i="1"/>
  <c r="AP34" i="1"/>
  <c r="AO34" i="1"/>
  <c r="I33" i="1"/>
  <c r="I36" i="1"/>
  <c r="AV39" i="1"/>
  <c r="AU39" i="1"/>
  <c r="AT39" i="1"/>
  <c r="AU45" i="1"/>
  <c r="AV45" i="1"/>
  <c r="AT45" i="1"/>
  <c r="L4" i="1"/>
  <c r="AQ43" i="1"/>
  <c r="AP43" i="1"/>
  <c r="AO43" i="1"/>
  <c r="CA45" i="8" l="1"/>
  <c r="BZ8" i="11"/>
  <c r="BY8" i="11"/>
  <c r="CA8" i="11" s="1"/>
  <c r="P47" i="13"/>
  <c r="BQ49" i="13"/>
  <c r="P49" i="13" s="1"/>
  <c r="BU30" i="13"/>
  <c r="BV21" i="13"/>
  <c r="Q42" i="13"/>
  <c r="Q16" i="13"/>
  <c r="R6" i="13"/>
  <c r="R7" i="13"/>
  <c r="R14" i="13"/>
  <c r="CA6" i="11"/>
  <c r="BZ27" i="12"/>
  <c r="CA27" i="12" s="1"/>
  <c r="BZ28" i="12"/>
  <c r="CA28" i="12" s="1"/>
  <c r="BZ16" i="12"/>
  <c r="CA16" i="12" s="1"/>
  <c r="BZ26" i="12"/>
  <c r="CA26" i="12" s="1"/>
  <c r="BZ24" i="12"/>
  <c r="CA24" i="12" s="1"/>
  <c r="BZ22" i="12"/>
  <c r="CA22" i="12" s="1"/>
  <c r="BZ21" i="12"/>
  <c r="CA18" i="12"/>
  <c r="R18" i="12" s="1"/>
  <c r="BZ23" i="12"/>
  <c r="CA23" i="12" s="1"/>
  <c r="BZ25" i="12"/>
  <c r="CA25" i="12" s="1"/>
  <c r="BV47" i="12"/>
  <c r="Q47" i="12" s="1"/>
  <c r="BS49" i="12"/>
  <c r="AW45" i="1"/>
  <c r="BV40" i="11"/>
  <c r="BV42" i="11"/>
  <c r="CA7" i="11"/>
  <c r="CA14" i="11"/>
  <c r="Q30" i="11"/>
  <c r="BX17" i="11"/>
  <c r="BU37" i="11"/>
  <c r="BS37" i="11"/>
  <c r="BT37" i="11"/>
  <c r="BV41" i="11"/>
  <c r="BU28" i="7"/>
  <c r="BV28" i="7" s="1"/>
  <c r="BU26" i="7"/>
  <c r="BV26" i="7" s="1"/>
  <c r="BU25" i="7"/>
  <c r="BV25" i="7" s="1"/>
  <c r="BU27" i="7"/>
  <c r="BV27" i="7" s="1"/>
  <c r="BU22" i="7"/>
  <c r="BV22" i="7" s="1"/>
  <c r="BU21" i="7"/>
  <c r="BV18" i="7"/>
  <c r="Q18" i="7" s="1"/>
  <c r="R14" i="7" s="1"/>
  <c r="BU24" i="7"/>
  <c r="BV24" i="7" s="1"/>
  <c r="BU16" i="7"/>
  <c r="BV16" i="7" s="1"/>
  <c r="CE4" i="8"/>
  <c r="CD4" i="8"/>
  <c r="CC4" i="8"/>
  <c r="T4" i="8"/>
  <c r="BX16" i="8"/>
  <c r="BX24" i="8"/>
  <c r="BX28" i="8"/>
  <c r="BX23" i="8"/>
  <c r="BX27" i="8"/>
  <c r="BX21" i="8"/>
  <c r="BX22" i="8"/>
  <c r="BX26" i="8"/>
  <c r="BX25" i="8"/>
  <c r="BY17" i="8"/>
  <c r="CA39" i="8"/>
  <c r="BV43" i="8"/>
  <c r="BS47" i="8"/>
  <c r="Q41" i="7"/>
  <c r="Q40" i="7"/>
  <c r="BY26" i="5"/>
  <c r="BY22" i="5"/>
  <c r="BY23" i="5"/>
  <c r="BY28" i="5"/>
  <c r="BY24" i="5"/>
  <c r="BY27" i="5"/>
  <c r="BY25" i="5"/>
  <c r="BY21" i="5"/>
  <c r="BY16" i="5"/>
  <c r="BZ17" i="5"/>
  <c r="CA17" i="5" s="1"/>
  <c r="R17" i="5" s="1"/>
  <c r="BX30" i="5"/>
  <c r="BV47" i="5"/>
  <c r="BS49" i="5"/>
  <c r="AR34" i="1"/>
  <c r="J34" i="1" s="1"/>
  <c r="AW39" i="1"/>
  <c r="AQ36" i="1"/>
  <c r="AP36" i="1"/>
  <c r="AO36" i="1"/>
  <c r="AQ33" i="1"/>
  <c r="AP33" i="1"/>
  <c r="AO33" i="1"/>
  <c r="AZ4" i="1"/>
  <c r="BA4" i="1"/>
  <c r="AY4" i="1"/>
  <c r="AP35" i="1"/>
  <c r="AQ35" i="1"/>
  <c r="AO35" i="1"/>
  <c r="AR43" i="1"/>
  <c r="J43" i="1" s="1"/>
  <c r="AT27" i="1"/>
  <c r="AT25" i="1"/>
  <c r="AT24" i="1"/>
  <c r="AT28" i="1"/>
  <c r="AT22" i="1"/>
  <c r="AT16" i="1"/>
  <c r="AT23" i="1"/>
  <c r="AT26" i="1"/>
  <c r="AT21" i="1"/>
  <c r="AU17" i="1"/>
  <c r="AU18" i="1" s="1"/>
  <c r="BS42" i="13" l="1"/>
  <c r="BU42" i="13"/>
  <c r="BT42" i="13"/>
  <c r="Q37" i="13"/>
  <c r="BV30" i="13"/>
  <c r="BY14" i="13"/>
  <c r="BX14" i="13"/>
  <c r="BZ14" i="13"/>
  <c r="Q40" i="13"/>
  <c r="Q41" i="13"/>
  <c r="BX7" i="13"/>
  <c r="BZ7" i="13"/>
  <c r="BY7" i="13"/>
  <c r="BZ6" i="13"/>
  <c r="BX6" i="13"/>
  <c r="BY6" i="13"/>
  <c r="R8" i="13"/>
  <c r="R42" i="12"/>
  <c r="R16" i="12"/>
  <c r="S14" i="12"/>
  <c r="T14" i="12" s="1"/>
  <c r="S6" i="12"/>
  <c r="T6" i="12" s="1"/>
  <c r="S7" i="12"/>
  <c r="T7" i="12" s="1"/>
  <c r="BV49" i="12"/>
  <c r="Q49" i="12" s="1"/>
  <c r="BZ30" i="12"/>
  <c r="CA21" i="12"/>
  <c r="BX18" i="11"/>
  <c r="BV37" i="11"/>
  <c r="Q43" i="11"/>
  <c r="R45" i="11"/>
  <c r="Q34" i="11"/>
  <c r="R39" i="11"/>
  <c r="R7" i="7"/>
  <c r="BX7" i="7" s="1"/>
  <c r="Q42" i="7"/>
  <c r="BS42" i="7" s="1"/>
  <c r="BU30" i="7"/>
  <c r="BV30" i="7" s="1"/>
  <c r="Q16" i="7"/>
  <c r="BV21" i="7"/>
  <c r="Q37" i="7" s="1"/>
  <c r="R6" i="7"/>
  <c r="BZ6" i="7" s="1"/>
  <c r="BX30" i="8"/>
  <c r="CF4" i="8"/>
  <c r="BV47" i="8"/>
  <c r="BS49" i="8"/>
  <c r="BY18" i="8"/>
  <c r="BY30" i="5"/>
  <c r="BZ18" i="5"/>
  <c r="BZ16" i="5" s="1"/>
  <c r="CA16" i="5" s="1"/>
  <c r="BU40" i="7"/>
  <c r="BS40" i="7"/>
  <c r="BT40" i="7"/>
  <c r="BT41" i="7"/>
  <c r="BS41" i="7"/>
  <c r="BU41" i="7"/>
  <c r="BZ14" i="7"/>
  <c r="BY14" i="7"/>
  <c r="BX14" i="7"/>
  <c r="Q47" i="5"/>
  <c r="BV49" i="5"/>
  <c r="Q49" i="5" s="1"/>
  <c r="AR35" i="1"/>
  <c r="J35" i="1" s="1"/>
  <c r="AR33" i="1"/>
  <c r="J33" i="1" s="1"/>
  <c r="AO47" i="1"/>
  <c r="AP47" i="1"/>
  <c r="AP49" i="1" s="1"/>
  <c r="AQ47" i="1"/>
  <c r="AQ49" i="1" s="1"/>
  <c r="BB4" i="1"/>
  <c r="AR36" i="1"/>
  <c r="J36" i="1" s="1"/>
  <c r="AU22" i="1"/>
  <c r="AU25" i="1"/>
  <c r="AU27" i="1"/>
  <c r="AU26" i="1"/>
  <c r="AU23" i="1"/>
  <c r="AU28" i="1"/>
  <c r="AU21" i="1"/>
  <c r="AU24" i="1"/>
  <c r="AU16" i="1"/>
  <c r="AV17" i="1"/>
  <c r="AV18" i="1" s="1"/>
  <c r="AT30" i="1"/>
  <c r="BZ27" i="5" l="1"/>
  <c r="CA27" i="5" s="1"/>
  <c r="CA7" i="13"/>
  <c r="Q30" i="13"/>
  <c r="CA6" i="13"/>
  <c r="BT41" i="13"/>
  <c r="BS41" i="13"/>
  <c r="BU41" i="13"/>
  <c r="BT37" i="13"/>
  <c r="BS37" i="13"/>
  <c r="BU37" i="13"/>
  <c r="BT40" i="13"/>
  <c r="BS40" i="13"/>
  <c r="BU40" i="13"/>
  <c r="BY8" i="13"/>
  <c r="BZ8" i="13"/>
  <c r="BX8" i="13"/>
  <c r="CA14" i="13"/>
  <c r="BV42" i="13"/>
  <c r="BU42" i="7"/>
  <c r="BT42" i="7"/>
  <c r="BY7" i="7"/>
  <c r="BZ7" i="7"/>
  <c r="R41" i="12"/>
  <c r="R40" i="12"/>
  <c r="S8" i="12"/>
  <c r="T8" i="12" s="1"/>
  <c r="R37" i="12"/>
  <c r="CA30" i="12"/>
  <c r="R30" i="12" s="1"/>
  <c r="BZ42" i="12"/>
  <c r="BY42" i="12"/>
  <c r="BX42" i="12"/>
  <c r="CD7" i="12"/>
  <c r="CC7" i="12"/>
  <c r="CE7" i="12"/>
  <c r="CC14" i="12"/>
  <c r="CE14" i="12"/>
  <c r="CD14" i="12"/>
  <c r="CE6" i="12"/>
  <c r="CC6" i="12"/>
  <c r="CD6" i="12"/>
  <c r="Q36" i="11"/>
  <c r="BT34" i="11"/>
  <c r="Q35" i="11"/>
  <c r="BU34" i="11"/>
  <c r="Q33" i="11"/>
  <c r="BS34" i="11"/>
  <c r="BY45" i="11"/>
  <c r="BX45" i="11"/>
  <c r="BZ45" i="11"/>
  <c r="S4" i="11"/>
  <c r="BS43" i="11"/>
  <c r="BT43" i="11"/>
  <c r="BU43" i="11"/>
  <c r="BX26" i="11"/>
  <c r="BX28" i="11"/>
  <c r="BX27" i="11"/>
  <c r="BX21" i="11"/>
  <c r="BX25" i="11"/>
  <c r="BX24" i="11"/>
  <c r="BX23" i="11"/>
  <c r="BX16" i="11"/>
  <c r="BX22" i="11"/>
  <c r="BY17" i="11"/>
  <c r="BY18" i="11" s="1"/>
  <c r="BX39" i="11"/>
  <c r="BZ39" i="11"/>
  <c r="BY39" i="11"/>
  <c r="BX6" i="7"/>
  <c r="BY6" i="7"/>
  <c r="R8" i="7"/>
  <c r="BZ8" i="7" s="1"/>
  <c r="BV40" i="7"/>
  <c r="BZ26" i="5"/>
  <c r="CA26" i="5" s="1"/>
  <c r="BZ28" i="5"/>
  <c r="CA28" i="5" s="1"/>
  <c r="CA18" i="5"/>
  <c r="R18" i="5" s="1"/>
  <c r="R42" i="5" s="1"/>
  <c r="BZ25" i="5"/>
  <c r="CA25" i="5" s="1"/>
  <c r="BZ23" i="5"/>
  <c r="CA23" i="5" s="1"/>
  <c r="BZ21" i="5"/>
  <c r="CA21" i="5" s="1"/>
  <c r="BZ22" i="5"/>
  <c r="CA22" i="5" s="1"/>
  <c r="BY27" i="8"/>
  <c r="BY23" i="8"/>
  <c r="BY28" i="8"/>
  <c r="BY26" i="8"/>
  <c r="BY25" i="8"/>
  <c r="BY24" i="8"/>
  <c r="BY21" i="8"/>
  <c r="BY22" i="8"/>
  <c r="BY16" i="8"/>
  <c r="BZ17" i="8"/>
  <c r="CA17" i="8" s="1"/>
  <c r="R17" i="8" s="1"/>
  <c r="Q47" i="8"/>
  <c r="BV49" i="8"/>
  <c r="Q49" i="8" s="1"/>
  <c r="BZ24" i="5"/>
  <c r="CA24" i="5" s="1"/>
  <c r="Q30" i="7"/>
  <c r="BT37" i="7"/>
  <c r="BS37" i="7"/>
  <c r="BU37" i="7"/>
  <c r="BV41" i="7"/>
  <c r="CA14" i="7"/>
  <c r="R41" i="5"/>
  <c r="R40" i="5"/>
  <c r="AV25" i="1"/>
  <c r="AW25" i="1" s="1"/>
  <c r="AV26" i="1"/>
  <c r="AW26" i="1" s="1"/>
  <c r="AV24" i="1"/>
  <c r="AW24" i="1" s="1"/>
  <c r="AV22" i="1"/>
  <c r="AW22" i="1" s="1"/>
  <c r="AV16" i="1"/>
  <c r="AW16" i="1" s="1"/>
  <c r="AV28" i="1"/>
  <c r="AW28" i="1" s="1"/>
  <c r="AV23" i="1"/>
  <c r="AW23" i="1" s="1"/>
  <c r="AV27" i="1"/>
  <c r="AW27" i="1" s="1"/>
  <c r="AV21" i="1"/>
  <c r="AW21" i="1" s="1"/>
  <c r="AW18" i="1"/>
  <c r="K18" i="1" s="1"/>
  <c r="AR47" i="1"/>
  <c r="AO49" i="1"/>
  <c r="AU30" i="1"/>
  <c r="AW17" i="1"/>
  <c r="K17" i="1" s="1"/>
  <c r="BV34" i="11" l="1"/>
  <c r="BV41" i="13"/>
  <c r="BV40" i="13"/>
  <c r="R39" i="13"/>
  <c r="R45" i="13"/>
  <c r="Q34" i="13"/>
  <c r="Q43" i="13"/>
  <c r="BV37" i="13"/>
  <c r="BX17" i="13"/>
  <c r="CA8" i="13"/>
  <c r="S7" i="5"/>
  <c r="CD7" i="5" s="1"/>
  <c r="S14" i="5"/>
  <c r="T14" i="5" s="1"/>
  <c r="S6" i="5"/>
  <c r="CD6" i="5" s="1"/>
  <c r="R16" i="5"/>
  <c r="BV42" i="7"/>
  <c r="CA7" i="7"/>
  <c r="R43" i="12"/>
  <c r="R34" i="12"/>
  <c r="S39" i="12"/>
  <c r="S45" i="12"/>
  <c r="CF6" i="12"/>
  <c r="CF7" i="12"/>
  <c r="BY37" i="12"/>
  <c r="BZ37" i="12"/>
  <c r="BX37" i="12"/>
  <c r="BX41" i="12"/>
  <c r="BY41" i="12"/>
  <c r="BZ41" i="12"/>
  <c r="CA42" i="12"/>
  <c r="CE8" i="12"/>
  <c r="CD8" i="12"/>
  <c r="CC8" i="12"/>
  <c r="CF14" i="12"/>
  <c r="BZ40" i="12"/>
  <c r="BX40" i="12"/>
  <c r="BY40" i="12"/>
  <c r="CA45" i="11"/>
  <c r="BU33" i="11"/>
  <c r="BT33" i="11"/>
  <c r="BS33" i="11"/>
  <c r="BY27" i="11"/>
  <c r="BY25" i="11"/>
  <c r="BY26" i="11"/>
  <c r="BY23" i="11"/>
  <c r="BY21" i="11"/>
  <c r="BY24" i="11"/>
  <c r="BY16" i="11"/>
  <c r="BY22" i="11"/>
  <c r="BY28" i="11"/>
  <c r="BZ17" i="11"/>
  <c r="CA17" i="11" s="1"/>
  <c r="R17" i="11" s="1"/>
  <c r="BV43" i="11"/>
  <c r="BS35" i="11"/>
  <c r="BT35" i="11"/>
  <c r="BU35" i="11"/>
  <c r="CA39" i="11"/>
  <c r="BX30" i="11"/>
  <c r="CD4" i="11"/>
  <c r="CC4" i="11"/>
  <c r="CE4" i="11"/>
  <c r="T4" i="11"/>
  <c r="BT36" i="11"/>
  <c r="BU36" i="11"/>
  <c r="BS36" i="11"/>
  <c r="CA6" i="7"/>
  <c r="BX8" i="7"/>
  <c r="BX17" i="7" s="1"/>
  <c r="BY8" i="7"/>
  <c r="BV37" i="7"/>
  <c r="BZ30" i="5"/>
  <c r="CA30" i="5" s="1"/>
  <c r="R30" i="5" s="1"/>
  <c r="S39" i="5" s="1"/>
  <c r="R41" i="8"/>
  <c r="R40" i="8"/>
  <c r="BY30" i="8"/>
  <c r="BZ18" i="8"/>
  <c r="R45" i="7"/>
  <c r="Q43" i="7"/>
  <c r="R39" i="7"/>
  <c r="Q34" i="7"/>
  <c r="BX40" i="5"/>
  <c r="BZ40" i="5"/>
  <c r="BY40" i="5"/>
  <c r="BZ41" i="5"/>
  <c r="BY41" i="5"/>
  <c r="BX41" i="5"/>
  <c r="BZ42" i="5"/>
  <c r="BY42" i="5"/>
  <c r="BX42" i="5"/>
  <c r="R37" i="5"/>
  <c r="L14" i="1"/>
  <c r="K37" i="1"/>
  <c r="I47" i="1"/>
  <c r="J47" i="1" s="1"/>
  <c r="AR49" i="1"/>
  <c r="I49" i="1" s="1"/>
  <c r="K42" i="1"/>
  <c r="L6" i="1"/>
  <c r="L7" i="1"/>
  <c r="K16" i="1"/>
  <c r="AV30" i="1"/>
  <c r="AW30" i="1" s="1"/>
  <c r="CE7" i="5" l="1"/>
  <c r="CC6" i="5"/>
  <c r="CE6" i="5"/>
  <c r="CC7" i="5"/>
  <c r="R43" i="5"/>
  <c r="BZ43" i="5" s="1"/>
  <c r="S8" i="5"/>
  <c r="CD8" i="5" s="1"/>
  <c r="CE14" i="5"/>
  <c r="T6" i="5"/>
  <c r="CC14" i="5"/>
  <c r="T7" i="5"/>
  <c r="CD14" i="5"/>
  <c r="BT43" i="13"/>
  <c r="BU43" i="13"/>
  <c r="BS43" i="13"/>
  <c r="BS34" i="13"/>
  <c r="Q36" i="13"/>
  <c r="BT34" i="13"/>
  <c r="Q33" i="13"/>
  <c r="Q35" i="13"/>
  <c r="BU34" i="13"/>
  <c r="BY45" i="13"/>
  <c r="BX45" i="13"/>
  <c r="BZ45" i="13"/>
  <c r="S4" i="13"/>
  <c r="BZ39" i="13"/>
  <c r="BX39" i="13"/>
  <c r="BY39" i="13"/>
  <c r="BX18" i="13"/>
  <c r="BV36" i="11"/>
  <c r="S45" i="5"/>
  <c r="CE45" i="5" s="1"/>
  <c r="R35" i="12"/>
  <c r="R33" i="12"/>
  <c r="R36" i="12"/>
  <c r="CA37" i="12"/>
  <c r="CC17" i="12"/>
  <c r="CF8" i="12"/>
  <c r="CA41" i="12"/>
  <c r="CA40" i="12"/>
  <c r="CF4" i="11"/>
  <c r="BZ18" i="11"/>
  <c r="BS47" i="11"/>
  <c r="BV33" i="11"/>
  <c r="BY30" i="11"/>
  <c r="BT47" i="11"/>
  <c r="BT49" i="11" s="1"/>
  <c r="BV35" i="11"/>
  <c r="BU47" i="11"/>
  <c r="BU49" i="11" s="1"/>
  <c r="CA8" i="7"/>
  <c r="BZ28" i="8"/>
  <c r="CA28" i="8" s="1"/>
  <c r="BZ23" i="8"/>
  <c r="CA23" i="8" s="1"/>
  <c r="CA18" i="8"/>
  <c r="R18" i="8" s="1"/>
  <c r="BZ21" i="8"/>
  <c r="BZ27" i="8"/>
  <c r="CA27" i="8" s="1"/>
  <c r="BZ22" i="8"/>
  <c r="CA22" i="8" s="1"/>
  <c r="BZ26" i="8"/>
  <c r="CA26" i="8" s="1"/>
  <c r="BZ25" i="8"/>
  <c r="CA25" i="8" s="1"/>
  <c r="BZ24" i="8"/>
  <c r="CA24" i="8" s="1"/>
  <c r="BZ16" i="8"/>
  <c r="CA16" i="8" s="1"/>
  <c r="BY40" i="8"/>
  <c r="BZ40" i="8"/>
  <c r="BX40" i="8"/>
  <c r="BZ41" i="8"/>
  <c r="BY41" i="8"/>
  <c r="BX41" i="8"/>
  <c r="CF6" i="5"/>
  <c r="CA40" i="5"/>
  <c r="BU34" i="7"/>
  <c r="Q33" i="7"/>
  <c r="Q36" i="7"/>
  <c r="Q35" i="7"/>
  <c r="BT34" i="7"/>
  <c r="BS34" i="7"/>
  <c r="BX39" i="7"/>
  <c r="BZ39" i="7"/>
  <c r="BY39" i="7"/>
  <c r="BS43" i="7"/>
  <c r="BT43" i="7"/>
  <c r="BU43" i="7"/>
  <c r="BZ45" i="7"/>
  <c r="BY45" i="7"/>
  <c r="BX45" i="7"/>
  <c r="S4" i="7"/>
  <c r="BX18" i="7"/>
  <c r="CD39" i="5"/>
  <c r="CE39" i="5"/>
  <c r="CC39" i="5"/>
  <c r="CA42" i="5"/>
  <c r="CA41" i="5"/>
  <c r="CF7" i="5"/>
  <c r="BZ37" i="5"/>
  <c r="BY37" i="5"/>
  <c r="BX37" i="5"/>
  <c r="BX34" i="5"/>
  <c r="R36" i="5"/>
  <c r="R35" i="5"/>
  <c r="BY34" i="5"/>
  <c r="R33" i="5"/>
  <c r="BZ34" i="5"/>
  <c r="L8" i="1"/>
  <c r="BA14" i="1"/>
  <c r="AZ14" i="1"/>
  <c r="AY14" i="1"/>
  <c r="K30" i="1"/>
  <c r="AZ6" i="1"/>
  <c r="AY6" i="1"/>
  <c r="BA6" i="1"/>
  <c r="AV37" i="1"/>
  <c r="AT37" i="1"/>
  <c r="AU37" i="1"/>
  <c r="AT42" i="1"/>
  <c r="AU42" i="1"/>
  <c r="AV42" i="1"/>
  <c r="BA7" i="1"/>
  <c r="AY7" i="1"/>
  <c r="AZ7" i="1"/>
  <c r="J49" i="1"/>
  <c r="K40" i="1"/>
  <c r="K41" i="1"/>
  <c r="BX43" i="5" l="1"/>
  <c r="BY43" i="5"/>
  <c r="CE8" i="5"/>
  <c r="CD45" i="5"/>
  <c r="CC8" i="5"/>
  <c r="CF14" i="5"/>
  <c r="CC45" i="5"/>
  <c r="CF45" i="5" s="1"/>
  <c r="T45" i="5" s="1"/>
  <c r="T8" i="5"/>
  <c r="BV43" i="13"/>
  <c r="CA39" i="13"/>
  <c r="BT35" i="13"/>
  <c r="BU35" i="13"/>
  <c r="BS35" i="13"/>
  <c r="BT33" i="13"/>
  <c r="BS33" i="13"/>
  <c r="BU33" i="13"/>
  <c r="CE4" i="13"/>
  <c r="CD4" i="13"/>
  <c r="CC4" i="13"/>
  <c r="T4" i="13"/>
  <c r="BS36" i="13"/>
  <c r="BU36" i="13"/>
  <c r="BT36" i="13"/>
  <c r="BV34" i="13"/>
  <c r="CA45" i="13"/>
  <c r="BX28" i="13"/>
  <c r="BX26" i="13"/>
  <c r="BX27" i="13"/>
  <c r="BX22" i="13"/>
  <c r="BX21" i="13"/>
  <c r="BX23" i="13"/>
  <c r="BX25" i="13"/>
  <c r="BX24" i="13"/>
  <c r="BX16" i="13"/>
  <c r="BY17" i="13"/>
  <c r="BX34" i="12"/>
  <c r="BZ34" i="12"/>
  <c r="BY34" i="12"/>
  <c r="BY43" i="12"/>
  <c r="BX43" i="12"/>
  <c r="BZ43" i="12"/>
  <c r="CC45" i="12"/>
  <c r="CE45" i="12"/>
  <c r="CD45" i="12"/>
  <c r="CC18" i="12"/>
  <c r="CC39" i="12"/>
  <c r="CE39" i="12"/>
  <c r="CD39" i="12"/>
  <c r="BZ24" i="11"/>
  <c r="CA24" i="11" s="1"/>
  <c r="BZ26" i="11"/>
  <c r="CA26" i="11" s="1"/>
  <c r="BZ22" i="11"/>
  <c r="CA22" i="11" s="1"/>
  <c r="BZ21" i="11"/>
  <c r="BZ25" i="11"/>
  <c r="CA25" i="11" s="1"/>
  <c r="BZ27" i="11"/>
  <c r="CA27" i="11" s="1"/>
  <c r="CA18" i="11"/>
  <c r="R18" i="11" s="1"/>
  <c r="BZ23" i="11"/>
  <c r="CA23" i="11" s="1"/>
  <c r="BZ16" i="11"/>
  <c r="CA16" i="11" s="1"/>
  <c r="BZ28" i="11"/>
  <c r="CA28" i="11" s="1"/>
  <c r="BV47" i="11"/>
  <c r="BS49" i="11"/>
  <c r="BV34" i="7"/>
  <c r="CA45" i="7"/>
  <c r="CA39" i="7"/>
  <c r="CA41" i="8"/>
  <c r="CA40" i="8"/>
  <c r="BZ30" i="8"/>
  <c r="CA21" i="8"/>
  <c r="R42" i="8"/>
  <c r="S14" i="8"/>
  <c r="T14" i="8" s="1"/>
  <c r="S7" i="8"/>
  <c r="R16" i="8"/>
  <c r="S6" i="8"/>
  <c r="CA37" i="5"/>
  <c r="CE4" i="7"/>
  <c r="CD4" i="7"/>
  <c r="CC4" i="7"/>
  <c r="T4" i="7"/>
  <c r="BS35" i="7"/>
  <c r="BT35" i="7"/>
  <c r="BU35" i="7"/>
  <c r="BT36" i="7"/>
  <c r="BU36" i="7"/>
  <c r="BS36" i="7"/>
  <c r="BX26" i="7"/>
  <c r="BX24" i="7"/>
  <c r="BX22" i="7"/>
  <c r="BX27" i="7"/>
  <c r="BX25" i="7"/>
  <c r="BX16" i="7"/>
  <c r="BX21" i="7"/>
  <c r="BX28" i="7"/>
  <c r="BX23" i="7"/>
  <c r="BY17" i="7"/>
  <c r="BV43" i="7"/>
  <c r="BU33" i="7"/>
  <c r="BT33" i="7"/>
  <c r="BS33" i="7"/>
  <c r="CA43" i="5"/>
  <c r="BX33" i="5"/>
  <c r="BZ33" i="5"/>
  <c r="BY33" i="5"/>
  <c r="BZ35" i="5"/>
  <c r="BY35" i="5"/>
  <c r="BX35" i="5"/>
  <c r="BZ36" i="5"/>
  <c r="BY36" i="5"/>
  <c r="BX36" i="5"/>
  <c r="CF39" i="5"/>
  <c r="T39" i="5" s="1"/>
  <c r="CA34" i="5"/>
  <c r="BB14" i="1"/>
  <c r="AZ8" i="1"/>
  <c r="BA8" i="1"/>
  <c r="AY8" i="1"/>
  <c r="BB7" i="1"/>
  <c r="AW37" i="1"/>
  <c r="AT40" i="1"/>
  <c r="AU40" i="1"/>
  <c r="AV40" i="1"/>
  <c r="BB6" i="1"/>
  <c r="AU41" i="1"/>
  <c r="AV41" i="1"/>
  <c r="AT41" i="1"/>
  <c r="AW42" i="1"/>
  <c r="L39" i="1"/>
  <c r="K34" i="1"/>
  <c r="K43" i="1"/>
  <c r="L45" i="1"/>
  <c r="CF8" i="5" l="1"/>
  <c r="CC17" i="5"/>
  <c r="CC18" i="5" s="1"/>
  <c r="BU47" i="13"/>
  <c r="BU49" i="13" s="1"/>
  <c r="BV35" i="13"/>
  <c r="BX30" i="13"/>
  <c r="BS47" i="13"/>
  <c r="BV33" i="13"/>
  <c r="BT47" i="13"/>
  <c r="BT49" i="13" s="1"/>
  <c r="BV36" i="13"/>
  <c r="BY18" i="13"/>
  <c r="CF4" i="13"/>
  <c r="CA43" i="12"/>
  <c r="BZ35" i="12"/>
  <c r="BX35" i="12"/>
  <c r="BY35" i="12"/>
  <c r="CF45" i="12"/>
  <c r="T45" i="12" s="1"/>
  <c r="BY33" i="12"/>
  <c r="BZ33" i="12"/>
  <c r="BX33" i="12"/>
  <c r="CA34" i="12"/>
  <c r="CF39" i="12"/>
  <c r="T39" i="12" s="1"/>
  <c r="BY36" i="12"/>
  <c r="BX36" i="12"/>
  <c r="BZ36" i="12"/>
  <c r="CC24" i="12"/>
  <c r="CC28" i="12"/>
  <c r="CC27" i="12"/>
  <c r="CC25" i="12"/>
  <c r="CC22" i="12"/>
  <c r="CC21" i="12"/>
  <c r="CC23" i="12"/>
  <c r="CC16" i="12"/>
  <c r="CC26" i="12"/>
  <c r="CD17" i="12"/>
  <c r="Q47" i="11"/>
  <c r="BV49" i="11"/>
  <c r="Q49" i="11" s="1"/>
  <c r="BZ30" i="11"/>
  <c r="CA21" i="11"/>
  <c r="R42" i="11"/>
  <c r="R16" i="11"/>
  <c r="S14" i="11"/>
  <c r="T14" i="11" s="1"/>
  <c r="S7" i="11"/>
  <c r="S6" i="11"/>
  <c r="BV36" i="7"/>
  <c r="CF4" i="7"/>
  <c r="BT47" i="7"/>
  <c r="BT49" i="7" s="1"/>
  <c r="BV35" i="7"/>
  <c r="S8" i="8"/>
  <c r="CD8" i="8" s="1"/>
  <c r="CE6" i="8"/>
  <c r="CC6" i="8"/>
  <c r="CD6" i="8"/>
  <c r="T6" i="8"/>
  <c r="CA30" i="8"/>
  <c r="R37" i="8"/>
  <c r="CC7" i="8"/>
  <c r="CE7" i="8"/>
  <c r="CD7" i="8"/>
  <c r="T7" i="8"/>
  <c r="CE14" i="8"/>
  <c r="CD14" i="8"/>
  <c r="CC14" i="8"/>
  <c r="BZ42" i="8"/>
  <c r="BY42" i="8"/>
  <c r="BX42" i="8"/>
  <c r="BY47" i="5"/>
  <c r="BY49" i="5" s="1"/>
  <c r="CA36" i="5"/>
  <c r="BY18" i="7"/>
  <c r="BX30" i="7"/>
  <c r="BS47" i="7"/>
  <c r="BV33" i="7"/>
  <c r="BU47" i="7"/>
  <c r="BU49" i="7" s="1"/>
  <c r="BZ47" i="5"/>
  <c r="BZ49" i="5" s="1"/>
  <c r="BX47" i="5"/>
  <c r="CA33" i="5"/>
  <c r="CA35" i="5"/>
  <c r="CC23" i="5"/>
  <c r="CC28" i="5"/>
  <c r="CC24" i="5"/>
  <c r="CC26" i="5"/>
  <c r="CC16" i="5"/>
  <c r="CC22" i="5"/>
  <c r="CC27" i="5"/>
  <c r="CC25" i="5"/>
  <c r="CC21" i="5"/>
  <c r="CD17" i="5"/>
  <c r="CD18" i="5" s="1"/>
  <c r="BA45" i="1"/>
  <c r="AY45" i="1"/>
  <c r="AZ45" i="1"/>
  <c r="M4" i="1"/>
  <c r="BB8" i="1"/>
  <c r="AY17" i="1"/>
  <c r="BA39" i="1"/>
  <c r="AZ39" i="1"/>
  <c r="AY39" i="1"/>
  <c r="AW40" i="1"/>
  <c r="AU34" i="1"/>
  <c r="AV34" i="1"/>
  <c r="AT34" i="1"/>
  <c r="K33" i="1"/>
  <c r="K35" i="1"/>
  <c r="K36" i="1"/>
  <c r="AW41" i="1"/>
  <c r="AU43" i="1"/>
  <c r="AV43" i="1"/>
  <c r="AT43" i="1"/>
  <c r="S8" i="11" l="1"/>
  <c r="CE8" i="11" s="1"/>
  <c r="BZ47" i="12"/>
  <c r="BZ49" i="12" s="1"/>
  <c r="BV47" i="13"/>
  <c r="BS49" i="13"/>
  <c r="BY25" i="13"/>
  <c r="BY26" i="13"/>
  <c r="BY16" i="13"/>
  <c r="BY28" i="13"/>
  <c r="BY27" i="13"/>
  <c r="BY22" i="13"/>
  <c r="BY21" i="13"/>
  <c r="BY24" i="13"/>
  <c r="BY23" i="13"/>
  <c r="BZ17" i="13"/>
  <c r="CA17" i="13" s="1"/>
  <c r="R17" i="13" s="1"/>
  <c r="BY47" i="12"/>
  <c r="BY49" i="12" s="1"/>
  <c r="CC30" i="12"/>
  <c r="CA36" i="12"/>
  <c r="BX47" i="12"/>
  <c r="CA33" i="12"/>
  <c r="CD18" i="12"/>
  <c r="CA35" i="12"/>
  <c r="CC7" i="11"/>
  <c r="CE7" i="11"/>
  <c r="CD7" i="11"/>
  <c r="T7" i="11"/>
  <c r="CC14" i="11"/>
  <c r="CE14" i="11"/>
  <c r="CD14" i="11"/>
  <c r="R37" i="11"/>
  <c r="CA30" i="11"/>
  <c r="BZ42" i="11"/>
  <c r="BY42" i="11"/>
  <c r="BX42" i="11"/>
  <c r="R40" i="11"/>
  <c r="R41" i="11"/>
  <c r="CD6" i="11"/>
  <c r="CC6" i="11"/>
  <c r="CE6" i="11"/>
  <c r="T6" i="11"/>
  <c r="CC8" i="8"/>
  <c r="CC17" i="8" s="1"/>
  <c r="T8" i="8"/>
  <c r="CE8" i="8"/>
  <c r="CF14" i="8"/>
  <c r="CA42" i="8"/>
  <c r="R30" i="8"/>
  <c r="BX37" i="8"/>
  <c r="BZ37" i="8"/>
  <c r="BY37" i="8"/>
  <c r="CF6" i="8"/>
  <c r="CF7" i="8"/>
  <c r="BV47" i="7"/>
  <c r="BS49" i="7"/>
  <c r="BY27" i="7"/>
  <c r="BY28" i="7"/>
  <c r="BY24" i="7"/>
  <c r="BY16" i="7"/>
  <c r="BY26" i="7"/>
  <c r="BY22" i="7"/>
  <c r="BY21" i="7"/>
  <c r="BY25" i="7"/>
  <c r="BY23" i="7"/>
  <c r="BZ17" i="7"/>
  <c r="CA17" i="7" s="1"/>
  <c r="R17" i="7" s="1"/>
  <c r="CD28" i="5"/>
  <c r="CD24" i="5"/>
  <c r="CD27" i="5"/>
  <c r="CD25" i="5"/>
  <c r="CD26" i="5"/>
  <c r="CD22" i="5"/>
  <c r="CD16" i="5"/>
  <c r="CD23" i="5"/>
  <c r="CD21" i="5"/>
  <c r="CE17" i="5"/>
  <c r="CE18" i="5" s="1"/>
  <c r="CC30" i="5"/>
  <c r="CA47" i="5"/>
  <c r="BX49" i="5"/>
  <c r="AW43" i="1"/>
  <c r="AW34" i="1"/>
  <c r="BB45" i="1"/>
  <c r="AU36" i="1"/>
  <c r="AV36" i="1"/>
  <c r="AT36" i="1"/>
  <c r="AV35" i="1"/>
  <c r="AU35" i="1"/>
  <c r="AT35" i="1"/>
  <c r="AV33" i="1"/>
  <c r="AU33" i="1"/>
  <c r="AT33" i="1"/>
  <c r="BD4" i="1"/>
  <c r="BF4" i="1"/>
  <c r="BE4" i="1"/>
  <c r="AY18" i="1"/>
  <c r="BB39" i="1"/>
  <c r="T8" i="11" l="1"/>
  <c r="CD8" i="11"/>
  <c r="CC8" i="11"/>
  <c r="BY30" i="13"/>
  <c r="BZ18" i="13"/>
  <c r="Q47" i="13"/>
  <c r="BV49" i="13"/>
  <c r="Q49" i="13" s="1"/>
  <c r="CD28" i="12"/>
  <c r="CD26" i="12"/>
  <c r="CD22" i="12"/>
  <c r="CD21" i="12"/>
  <c r="CD27" i="12"/>
  <c r="CD25" i="12"/>
  <c r="CD16" i="12"/>
  <c r="CD23" i="12"/>
  <c r="CD24" i="12"/>
  <c r="CE17" i="12"/>
  <c r="CF17" i="12" s="1"/>
  <c r="S17" i="12" s="1"/>
  <c r="CA47" i="12"/>
  <c r="R47" i="12" s="1"/>
  <c r="BX49" i="12"/>
  <c r="CA42" i="11"/>
  <c r="R30" i="11"/>
  <c r="CC17" i="11"/>
  <c r="CF8" i="11"/>
  <c r="BX41" i="11"/>
  <c r="BY41" i="11"/>
  <c r="BZ41" i="11"/>
  <c r="BY37" i="11"/>
  <c r="BX37" i="11"/>
  <c r="BZ37" i="11"/>
  <c r="BZ40" i="11"/>
  <c r="BX40" i="11"/>
  <c r="BY40" i="11"/>
  <c r="CF6" i="11"/>
  <c r="CF14" i="11"/>
  <c r="CF7" i="11"/>
  <c r="CF8" i="8"/>
  <c r="CA37" i="8"/>
  <c r="CC18" i="8"/>
  <c r="S45" i="8"/>
  <c r="R43" i="8"/>
  <c r="S39" i="8"/>
  <c r="CF17" i="5"/>
  <c r="S17" i="5" s="1"/>
  <c r="BY30" i="7"/>
  <c r="Q47" i="7"/>
  <c r="BV49" i="7"/>
  <c r="Q49" i="7" s="1"/>
  <c r="BZ18" i="7"/>
  <c r="CE28" i="5"/>
  <c r="CF28" i="5" s="1"/>
  <c r="T28" i="5" s="1"/>
  <c r="CE24" i="5"/>
  <c r="CF24" i="5" s="1"/>
  <c r="T24" i="5" s="1"/>
  <c r="CE27" i="5"/>
  <c r="CF27" i="5" s="1"/>
  <c r="T27" i="5" s="1"/>
  <c r="CE25" i="5"/>
  <c r="CF25" i="5" s="1"/>
  <c r="T25" i="5" s="1"/>
  <c r="CE26" i="5"/>
  <c r="CF26" i="5" s="1"/>
  <c r="T26" i="5" s="1"/>
  <c r="CE16" i="5"/>
  <c r="CF16" i="5" s="1"/>
  <c r="CE22" i="5"/>
  <c r="CF22" i="5" s="1"/>
  <c r="T22" i="5" s="1"/>
  <c r="CE23" i="5"/>
  <c r="CF23" i="5" s="1"/>
  <c r="T23" i="5" s="1"/>
  <c r="CF18" i="5"/>
  <c r="S18" i="5" s="1"/>
  <c r="CE21" i="5"/>
  <c r="T18" i="5"/>
  <c r="CD30" i="5"/>
  <c r="R47" i="5"/>
  <c r="CA49" i="5"/>
  <c r="R49" i="5" s="1"/>
  <c r="AW35" i="1"/>
  <c r="AW36" i="1"/>
  <c r="AU47" i="1"/>
  <c r="AU49" i="1" s="1"/>
  <c r="AV47" i="1"/>
  <c r="AV49" i="1" s="1"/>
  <c r="AY28" i="1"/>
  <c r="AY27" i="1"/>
  <c r="AY22" i="1"/>
  <c r="AY16" i="1"/>
  <c r="AY25" i="1"/>
  <c r="AY23" i="1"/>
  <c r="AY24" i="1"/>
  <c r="AY21" i="1"/>
  <c r="AY26" i="1"/>
  <c r="AZ17" i="1"/>
  <c r="AZ18" i="1" s="1"/>
  <c r="BG4" i="1"/>
  <c r="AT47" i="1"/>
  <c r="AW33" i="1"/>
  <c r="R41" i="13" l="1"/>
  <c r="R40" i="13"/>
  <c r="BZ27" i="13"/>
  <c r="CA27" i="13" s="1"/>
  <c r="BZ26" i="13"/>
  <c r="CA26" i="13" s="1"/>
  <c r="BZ23" i="13"/>
  <c r="CA23" i="13" s="1"/>
  <c r="BZ28" i="13"/>
  <c r="CA28" i="13" s="1"/>
  <c r="BZ25" i="13"/>
  <c r="CA25" i="13" s="1"/>
  <c r="BZ24" i="13"/>
  <c r="CA24" i="13" s="1"/>
  <c r="BZ22" i="13"/>
  <c r="CA22" i="13" s="1"/>
  <c r="BZ21" i="13"/>
  <c r="CA18" i="13"/>
  <c r="R18" i="13" s="1"/>
  <c r="BZ16" i="13"/>
  <c r="CA16" i="13" s="1"/>
  <c r="W22" i="3"/>
  <c r="X22" i="3" s="1"/>
  <c r="T16" i="5"/>
  <c r="CA49" i="12"/>
  <c r="R49" i="12" s="1"/>
  <c r="CD30" i="12"/>
  <c r="CE18" i="12"/>
  <c r="T18" i="12" s="1"/>
  <c r="O22" i="3" s="1"/>
  <c r="CA40" i="11"/>
  <c r="CA41" i="11"/>
  <c r="CC18" i="11"/>
  <c r="CA37" i="11"/>
  <c r="S39" i="11"/>
  <c r="R43" i="11"/>
  <c r="S45" i="11"/>
  <c r="R34" i="11"/>
  <c r="BZ43" i="8"/>
  <c r="BZ47" i="8" s="1"/>
  <c r="BZ49" i="8" s="1"/>
  <c r="BY43" i="8"/>
  <c r="BY47" i="8" s="1"/>
  <c r="BY49" i="8" s="1"/>
  <c r="BX43" i="8"/>
  <c r="CC45" i="8"/>
  <c r="CE45" i="8"/>
  <c r="CD45" i="8"/>
  <c r="CD39" i="8"/>
  <c r="CE39" i="8"/>
  <c r="CC39" i="8"/>
  <c r="CC27" i="8"/>
  <c r="CC21" i="8"/>
  <c r="CC28" i="8"/>
  <c r="CC22" i="8"/>
  <c r="CC26" i="8"/>
  <c r="CC25" i="8"/>
  <c r="CC16" i="8"/>
  <c r="CC24" i="8"/>
  <c r="CC23" i="8"/>
  <c r="CD17" i="8"/>
  <c r="CD18" i="8" s="1"/>
  <c r="R40" i="7"/>
  <c r="R41" i="7"/>
  <c r="BZ25" i="7"/>
  <c r="CA25" i="7" s="1"/>
  <c r="BZ28" i="7"/>
  <c r="CA28" i="7" s="1"/>
  <c r="BZ27" i="7"/>
  <c r="CA27" i="7" s="1"/>
  <c r="BZ16" i="7"/>
  <c r="CA16" i="7" s="1"/>
  <c r="BZ21" i="7"/>
  <c r="BZ26" i="7"/>
  <c r="CA26" i="7" s="1"/>
  <c r="BZ23" i="7"/>
  <c r="CA23" i="7" s="1"/>
  <c r="CA18" i="7"/>
  <c r="R18" i="7" s="1"/>
  <c r="BZ24" i="7"/>
  <c r="CA24" i="7" s="1"/>
  <c r="BZ22" i="7"/>
  <c r="CA22" i="7" s="1"/>
  <c r="U14" i="5"/>
  <c r="T17" i="5"/>
  <c r="CE30" i="5"/>
  <c r="CF30" i="5" s="1"/>
  <c r="CF21" i="5"/>
  <c r="S42" i="5"/>
  <c r="S16" i="5"/>
  <c r="U7" i="5"/>
  <c r="U6" i="5"/>
  <c r="S41" i="5"/>
  <c r="S40" i="5"/>
  <c r="AY30" i="1"/>
  <c r="AW47" i="1"/>
  <c r="AT49" i="1"/>
  <c r="AZ26" i="1"/>
  <c r="AZ28" i="1"/>
  <c r="AZ21" i="1"/>
  <c r="AZ22" i="1"/>
  <c r="AZ16" i="1"/>
  <c r="AZ27" i="1"/>
  <c r="AZ25" i="1"/>
  <c r="AZ24" i="1"/>
  <c r="AZ23" i="1"/>
  <c r="BA17" i="1"/>
  <c r="BB17" i="1" s="1"/>
  <c r="L17" i="1" s="1"/>
  <c r="BZ30" i="13" l="1"/>
  <c r="CA21" i="13"/>
  <c r="BY40" i="13"/>
  <c r="BZ40" i="13"/>
  <c r="BX40" i="13"/>
  <c r="BY41" i="13"/>
  <c r="BX41" i="13"/>
  <c r="BZ41" i="13"/>
  <c r="R42" i="13"/>
  <c r="S14" i="13"/>
  <c r="R16" i="13"/>
  <c r="S6" i="13"/>
  <c r="S7" i="13"/>
  <c r="T16" i="12"/>
  <c r="U14" i="12"/>
  <c r="T17" i="12"/>
  <c r="S41" i="12"/>
  <c r="S40" i="12"/>
  <c r="CE27" i="12"/>
  <c r="CF27" i="12" s="1"/>
  <c r="T27" i="12" s="1"/>
  <c r="CE25" i="12"/>
  <c r="CF25" i="12" s="1"/>
  <c r="T25" i="12" s="1"/>
  <c r="CE28" i="12"/>
  <c r="CF28" i="12" s="1"/>
  <c r="T28" i="12" s="1"/>
  <c r="CE26" i="12"/>
  <c r="CF26" i="12" s="1"/>
  <c r="T26" i="12" s="1"/>
  <c r="CE22" i="12"/>
  <c r="CF22" i="12" s="1"/>
  <c r="T22" i="12" s="1"/>
  <c r="CE21" i="12"/>
  <c r="CE23" i="12"/>
  <c r="CF23" i="12" s="1"/>
  <c r="T23" i="12" s="1"/>
  <c r="CE16" i="12"/>
  <c r="CF16" i="12" s="1"/>
  <c r="CE24" i="12"/>
  <c r="CF24" i="12" s="1"/>
  <c r="T24" i="12" s="1"/>
  <c r="CF18" i="12"/>
  <c r="S18" i="12" s="1"/>
  <c r="BY43" i="11"/>
  <c r="BX43" i="11"/>
  <c r="BZ43" i="11"/>
  <c r="CC39" i="11"/>
  <c r="CD39" i="11"/>
  <c r="CE39" i="11"/>
  <c r="CC28" i="11"/>
  <c r="CC27" i="11"/>
  <c r="CC23" i="11"/>
  <c r="CC25" i="11"/>
  <c r="CC26" i="11"/>
  <c r="CC24" i="11"/>
  <c r="CC16" i="11"/>
  <c r="CC22" i="11"/>
  <c r="CC21" i="11"/>
  <c r="CD17" i="11"/>
  <c r="BZ34" i="11"/>
  <c r="R35" i="11"/>
  <c r="BX34" i="11"/>
  <c r="R36" i="11"/>
  <c r="BY34" i="11"/>
  <c r="R33" i="11"/>
  <c r="CC45" i="11"/>
  <c r="CD45" i="11"/>
  <c r="CE45" i="11"/>
  <c r="CF45" i="8"/>
  <c r="T45" i="8" s="1"/>
  <c r="CC30" i="8"/>
  <c r="CD27" i="8"/>
  <c r="CD25" i="8"/>
  <c r="CD26" i="8"/>
  <c r="CD23" i="8"/>
  <c r="CD28" i="8"/>
  <c r="CD22" i="8"/>
  <c r="CD16" i="8"/>
  <c r="CD24" i="8"/>
  <c r="CD21" i="8"/>
  <c r="CE17" i="8"/>
  <c r="CE18" i="8" s="1"/>
  <c r="CA43" i="8"/>
  <c r="BX47" i="8"/>
  <c r="CF39" i="8"/>
  <c r="T39" i="8" s="1"/>
  <c r="R42" i="7"/>
  <c r="S14" i="7"/>
  <c r="T14" i="7" s="1"/>
  <c r="R16" i="7"/>
  <c r="S6" i="7"/>
  <c r="S7" i="7"/>
  <c r="BZ30" i="7"/>
  <c r="CA21" i="7"/>
  <c r="BX41" i="7"/>
  <c r="BY41" i="7"/>
  <c r="BZ41" i="7"/>
  <c r="BZ40" i="7"/>
  <c r="BY40" i="7"/>
  <c r="BX40" i="7"/>
  <c r="S30" i="5"/>
  <c r="CE41" i="5"/>
  <c r="CD41" i="5"/>
  <c r="CC41" i="5"/>
  <c r="CC40" i="5"/>
  <c r="CE40" i="5"/>
  <c r="CD40" i="5"/>
  <c r="S37" i="5"/>
  <c r="T21" i="5"/>
  <c r="CE42" i="5"/>
  <c r="CD42" i="5"/>
  <c r="CC42" i="5"/>
  <c r="K47" i="1"/>
  <c r="AW49" i="1"/>
  <c r="K49" i="1" s="1"/>
  <c r="AZ30" i="1"/>
  <c r="BA18" i="1"/>
  <c r="CF42" i="5" l="1"/>
  <c r="T42" i="5" s="1"/>
  <c r="CA40" i="13"/>
  <c r="CC7" i="13"/>
  <c r="CE7" i="13"/>
  <c r="CD7" i="13"/>
  <c r="T7" i="13"/>
  <c r="S8" i="13"/>
  <c r="CE6" i="13"/>
  <c r="CD6" i="13"/>
  <c r="CC6" i="13"/>
  <c r="T6" i="13"/>
  <c r="CC14" i="13"/>
  <c r="CE14" i="13"/>
  <c r="CD14" i="13"/>
  <c r="T14" i="13"/>
  <c r="CA41" i="13"/>
  <c r="R37" i="13"/>
  <c r="BZ42" i="13"/>
  <c r="BX42" i="13"/>
  <c r="BY42" i="13"/>
  <c r="CA30" i="13"/>
  <c r="S16" i="12"/>
  <c r="U6" i="12"/>
  <c r="U7" i="12"/>
  <c r="S42" i="12"/>
  <c r="CE30" i="12"/>
  <c r="CF21" i="12"/>
  <c r="CE40" i="12"/>
  <c r="CC40" i="12"/>
  <c r="CD40" i="12"/>
  <c r="CD41" i="12"/>
  <c r="CC41" i="12"/>
  <c r="CE41" i="12"/>
  <c r="CA34" i="11"/>
  <c r="CC30" i="11"/>
  <c r="BX36" i="11"/>
  <c r="BZ36" i="11"/>
  <c r="BY36" i="11"/>
  <c r="BX35" i="11"/>
  <c r="BZ35" i="11"/>
  <c r="BY35" i="11"/>
  <c r="CF39" i="11"/>
  <c r="T39" i="11" s="1"/>
  <c r="CF45" i="11"/>
  <c r="T45" i="11" s="1"/>
  <c r="CA43" i="11"/>
  <c r="BY33" i="11"/>
  <c r="BZ33" i="11"/>
  <c r="BX33" i="11"/>
  <c r="CD18" i="11"/>
  <c r="CE28" i="8"/>
  <c r="CF28" i="8" s="1"/>
  <c r="T28" i="8" s="1"/>
  <c r="CE26" i="8"/>
  <c r="CF26" i="8" s="1"/>
  <c r="T26" i="8" s="1"/>
  <c r="CE22" i="8"/>
  <c r="CF22" i="8" s="1"/>
  <c r="T22" i="8" s="1"/>
  <c r="T18" i="8"/>
  <c r="CE27" i="8"/>
  <c r="CF27" i="8" s="1"/>
  <c r="T27" i="8" s="1"/>
  <c r="CE25" i="8"/>
  <c r="CF25" i="8" s="1"/>
  <c r="T25" i="8" s="1"/>
  <c r="CE24" i="8"/>
  <c r="CF24" i="8" s="1"/>
  <c r="T24" i="8" s="1"/>
  <c r="CF18" i="8"/>
  <c r="S18" i="8" s="1"/>
  <c r="CE23" i="8"/>
  <c r="CF23" i="8" s="1"/>
  <c r="T23" i="8" s="1"/>
  <c r="CE21" i="8"/>
  <c r="CF21" i="8" s="1"/>
  <c r="CE16" i="8"/>
  <c r="CF16" i="8" s="1"/>
  <c r="CA47" i="8"/>
  <c r="BX49" i="8"/>
  <c r="CD30" i="8"/>
  <c r="CF17" i="8"/>
  <c r="S17" i="8" s="1"/>
  <c r="CF41" i="5"/>
  <c r="T41" i="5" s="1"/>
  <c r="CA40" i="7"/>
  <c r="CD7" i="7"/>
  <c r="CE7" i="7"/>
  <c r="CC7" i="7"/>
  <c r="T7" i="7"/>
  <c r="CE6" i="7"/>
  <c r="CD6" i="7"/>
  <c r="CC6" i="7"/>
  <c r="T6" i="7"/>
  <c r="CA41" i="7"/>
  <c r="S8" i="7"/>
  <c r="R37" i="7"/>
  <c r="CA30" i="7"/>
  <c r="CC14" i="7"/>
  <c r="CD14" i="7"/>
  <c r="CE14" i="7"/>
  <c r="BZ42" i="7"/>
  <c r="BY42" i="7"/>
  <c r="BX42" i="7"/>
  <c r="CE37" i="5"/>
  <c r="CD37" i="5"/>
  <c r="CC37" i="5"/>
  <c r="CF40" i="5"/>
  <c r="T40" i="5" s="1"/>
  <c r="S43" i="5"/>
  <c r="U45" i="5"/>
  <c r="U4" i="5" s="1"/>
  <c r="U8" i="5" s="1"/>
  <c r="U17" i="5" s="1"/>
  <c r="U18" i="5" s="1"/>
  <c r="T30" i="5"/>
  <c r="L41" i="1"/>
  <c r="L40" i="1"/>
  <c r="BA28" i="1"/>
  <c r="BB28" i="1" s="1"/>
  <c r="BB18" i="1"/>
  <c r="L18" i="1" s="1"/>
  <c r="BA16" i="1"/>
  <c r="BB16" i="1" s="1"/>
  <c r="BA21" i="1"/>
  <c r="BA22" i="1"/>
  <c r="BB22" i="1" s="1"/>
  <c r="BA24" i="1"/>
  <c r="BB24" i="1" s="1"/>
  <c r="BA25" i="1"/>
  <c r="BB25" i="1" s="1"/>
  <c r="BA27" i="1"/>
  <c r="BB27" i="1" s="1"/>
  <c r="BA26" i="1"/>
  <c r="BB26" i="1" s="1"/>
  <c r="BA23" i="1"/>
  <c r="BB23" i="1" s="1"/>
  <c r="Y22" i="3" l="1"/>
  <c r="Z22" i="3" s="1"/>
  <c r="T16" i="8"/>
  <c r="CD8" i="13"/>
  <c r="CC8" i="13"/>
  <c r="CE8" i="13"/>
  <c r="T8" i="13"/>
  <c r="R30" i="13"/>
  <c r="CA42" i="13"/>
  <c r="CF14" i="13"/>
  <c r="CF7" i="13"/>
  <c r="CF6" i="13"/>
  <c r="BZ37" i="13"/>
  <c r="BY37" i="13"/>
  <c r="BX37" i="13"/>
  <c r="W23" i="3"/>
  <c r="X23" i="3" s="1"/>
  <c r="U16" i="5"/>
  <c r="S37" i="12"/>
  <c r="T21" i="12"/>
  <c r="CF40" i="12"/>
  <c r="T40" i="12" s="1"/>
  <c r="CF41" i="12"/>
  <c r="T41" i="12" s="1"/>
  <c r="CF30" i="12"/>
  <c r="S30" i="12" s="1"/>
  <c r="CD42" i="12"/>
  <c r="CE42" i="12"/>
  <c r="CC42" i="12"/>
  <c r="P22" i="3"/>
  <c r="BZ47" i="11"/>
  <c r="BZ49" i="11" s="1"/>
  <c r="BY47" i="11"/>
  <c r="BY49" i="11" s="1"/>
  <c r="CD27" i="11"/>
  <c r="CD25" i="11"/>
  <c r="CD28" i="11"/>
  <c r="CD26" i="11"/>
  <c r="CD24" i="11"/>
  <c r="CD23" i="11"/>
  <c r="CD16" i="11"/>
  <c r="CD22" i="11"/>
  <c r="CD21" i="11"/>
  <c r="CE17" i="11"/>
  <c r="CF17" i="11" s="1"/>
  <c r="S17" i="11" s="1"/>
  <c r="CA33" i="11"/>
  <c r="BX47" i="11"/>
  <c r="CA36" i="11"/>
  <c r="CA35" i="11"/>
  <c r="CA42" i="7"/>
  <c r="CF7" i="7"/>
  <c r="S37" i="8"/>
  <c r="T21" i="8"/>
  <c r="T17" i="8"/>
  <c r="U14" i="8"/>
  <c r="CE30" i="8"/>
  <c r="R47" i="8"/>
  <c r="CA49" i="8"/>
  <c r="R49" i="8" s="1"/>
  <c r="S42" i="8"/>
  <c r="S16" i="8"/>
  <c r="U7" i="8"/>
  <c r="U6" i="8"/>
  <c r="CF37" i="5"/>
  <c r="T37" i="5" s="1"/>
  <c r="R30" i="7"/>
  <c r="CF6" i="7"/>
  <c r="BY37" i="7"/>
  <c r="BZ37" i="7"/>
  <c r="BX37" i="7"/>
  <c r="CE8" i="7"/>
  <c r="CD8" i="7"/>
  <c r="CC8" i="7"/>
  <c r="T8" i="7"/>
  <c r="CF14" i="7"/>
  <c r="S36" i="5"/>
  <c r="CC34" i="5"/>
  <c r="S35" i="5"/>
  <c r="CE34" i="5"/>
  <c r="S33" i="5"/>
  <c r="CD34" i="5"/>
  <c r="CE43" i="5"/>
  <c r="CD43" i="5"/>
  <c r="CC43" i="5"/>
  <c r="U42" i="5"/>
  <c r="V7" i="5"/>
  <c r="V14" i="5"/>
  <c r="V6" i="5"/>
  <c r="U37" i="5"/>
  <c r="U30" i="5"/>
  <c r="M14" i="1"/>
  <c r="BA41" i="1"/>
  <c r="AY41" i="1"/>
  <c r="AZ41" i="1"/>
  <c r="BA30" i="1"/>
  <c r="BB21" i="1"/>
  <c r="BA40" i="1"/>
  <c r="AY40" i="1"/>
  <c r="AZ40" i="1"/>
  <c r="L16" i="1"/>
  <c r="M7" i="1"/>
  <c r="M6" i="1"/>
  <c r="L42" i="1"/>
  <c r="CA37" i="13" l="1"/>
  <c r="S45" i="13"/>
  <c r="R43" i="13"/>
  <c r="S39" i="13"/>
  <c r="R34" i="13"/>
  <c r="CC17" i="13"/>
  <c r="CF8" i="13"/>
  <c r="S34" i="12"/>
  <c r="U45" i="12"/>
  <c r="U4" i="12" s="1"/>
  <c r="U8" i="12" s="1"/>
  <c r="U17" i="12" s="1"/>
  <c r="U18" i="12" s="1"/>
  <c r="O23" i="3" s="1"/>
  <c r="S43" i="12"/>
  <c r="T30" i="12"/>
  <c r="CF42" i="12"/>
  <c r="T42" i="12" s="1"/>
  <c r="CD37" i="12"/>
  <c r="CC37" i="12"/>
  <c r="CE37" i="12"/>
  <c r="CA47" i="11"/>
  <c r="BX49" i="11"/>
  <c r="CE18" i="11"/>
  <c r="CD30" i="11"/>
  <c r="CA37" i="7"/>
  <c r="CC42" i="8"/>
  <c r="CE42" i="8"/>
  <c r="CD42" i="8"/>
  <c r="S41" i="8"/>
  <c r="S40" i="8"/>
  <c r="CC37" i="8"/>
  <c r="CE37" i="8"/>
  <c r="CD37" i="8"/>
  <c r="CF30" i="8"/>
  <c r="CF43" i="5"/>
  <c r="T43" i="5" s="1"/>
  <c r="CC17" i="7"/>
  <c r="CF8" i="7"/>
  <c r="S39" i="7"/>
  <c r="S45" i="7"/>
  <c r="R43" i="7"/>
  <c r="R34" i="7"/>
  <c r="CC36" i="5"/>
  <c r="CE36" i="5"/>
  <c r="CD36" i="5"/>
  <c r="CC33" i="5"/>
  <c r="CD33" i="5"/>
  <c r="CE33" i="5"/>
  <c r="V45" i="5"/>
  <c r="V4" i="5" s="1"/>
  <c r="V8" i="5" s="1"/>
  <c r="V17" i="5" s="1"/>
  <c r="V18" i="5" s="1"/>
  <c r="U39" i="5"/>
  <c r="U43" i="5"/>
  <c r="U34" i="5"/>
  <c r="CE35" i="5"/>
  <c r="CD35" i="5"/>
  <c r="CC35" i="5"/>
  <c r="CF34" i="5"/>
  <c r="T34" i="5" s="1"/>
  <c r="M8" i="1"/>
  <c r="BF14" i="1"/>
  <c r="BE14" i="1"/>
  <c r="BD14" i="1"/>
  <c r="AZ42" i="1"/>
  <c r="BA42" i="1"/>
  <c r="AY42" i="1"/>
  <c r="BB40" i="1"/>
  <c r="BB41" i="1"/>
  <c r="L37" i="1"/>
  <c r="BD6" i="1"/>
  <c r="BF6" i="1"/>
  <c r="BE6" i="1"/>
  <c r="BD7" i="1"/>
  <c r="BF7" i="1"/>
  <c r="BE7" i="1"/>
  <c r="BB30" i="1"/>
  <c r="R35" i="13" l="1"/>
  <c r="BY34" i="13"/>
  <c r="BX34" i="13"/>
  <c r="R33" i="13"/>
  <c r="BZ34" i="13"/>
  <c r="R36" i="13"/>
  <c r="CE39" i="13"/>
  <c r="CC39" i="13"/>
  <c r="CD39" i="13"/>
  <c r="BY43" i="13"/>
  <c r="BX43" i="13"/>
  <c r="BZ43" i="13"/>
  <c r="CD45" i="13"/>
  <c r="CE45" i="13"/>
  <c r="CC45" i="13"/>
  <c r="CC18" i="13"/>
  <c r="W24" i="3"/>
  <c r="X24" i="3" s="1"/>
  <c r="V16" i="5"/>
  <c r="V7" i="12"/>
  <c r="U42" i="12"/>
  <c r="V6" i="12"/>
  <c r="U16" i="12"/>
  <c r="V14" i="12"/>
  <c r="U37" i="12"/>
  <c r="U30" i="12"/>
  <c r="S35" i="12"/>
  <c r="S33" i="12"/>
  <c r="S36" i="12"/>
  <c r="CF37" i="12"/>
  <c r="T37" i="12" s="1"/>
  <c r="R47" i="11"/>
  <c r="CA49" i="11"/>
  <c r="R49" i="11" s="1"/>
  <c r="CE27" i="11"/>
  <c r="CF27" i="11" s="1"/>
  <c r="T27" i="11" s="1"/>
  <c r="CE25" i="11"/>
  <c r="CF25" i="11" s="1"/>
  <c r="T25" i="11" s="1"/>
  <c r="CE26" i="11"/>
  <c r="CF26" i="11" s="1"/>
  <c r="T26" i="11" s="1"/>
  <c r="CE24" i="11"/>
  <c r="CF24" i="11" s="1"/>
  <c r="T24" i="11" s="1"/>
  <c r="CE16" i="11"/>
  <c r="CF16" i="11" s="1"/>
  <c r="CF18" i="11"/>
  <c r="S18" i="11" s="1"/>
  <c r="CE23" i="11"/>
  <c r="CF23" i="11" s="1"/>
  <c r="T23" i="11" s="1"/>
  <c r="CE22" i="11"/>
  <c r="CF22" i="11" s="1"/>
  <c r="T22" i="11" s="1"/>
  <c r="CE21" i="11"/>
  <c r="T18" i="11"/>
  <c r="S22" i="3" s="1"/>
  <c r="T22" i="3" s="1"/>
  <c r="CE28" i="11"/>
  <c r="CF28" i="11" s="1"/>
  <c r="T28" i="11" s="1"/>
  <c r="P23" i="3"/>
  <c r="S30" i="8"/>
  <c r="CC40" i="8"/>
  <c r="CD40" i="8"/>
  <c r="CE40" i="8"/>
  <c r="CE41" i="8"/>
  <c r="CC41" i="8"/>
  <c r="CD41" i="8"/>
  <c r="CF37" i="8"/>
  <c r="T37" i="8" s="1"/>
  <c r="CF42" i="8"/>
  <c r="T42" i="8" s="1"/>
  <c r="CD47" i="5"/>
  <c r="CD49" i="5" s="1"/>
  <c r="CF35" i="5"/>
  <c r="T35" i="5" s="1"/>
  <c r="CF36" i="5"/>
  <c r="T36" i="5" s="1"/>
  <c r="CE47" i="5"/>
  <c r="CE49" i="5" s="1"/>
  <c r="BZ34" i="7"/>
  <c r="R36" i="7"/>
  <c r="R35" i="7"/>
  <c r="BX34" i="7"/>
  <c r="BY34" i="7"/>
  <c r="R33" i="7"/>
  <c r="CC45" i="7"/>
  <c r="CE45" i="7"/>
  <c r="CD45" i="7"/>
  <c r="CC39" i="7"/>
  <c r="CE39" i="7"/>
  <c r="CD39" i="7"/>
  <c r="BY43" i="7"/>
  <c r="BX43" i="7"/>
  <c r="BZ43" i="7"/>
  <c r="CC18" i="7"/>
  <c r="V42" i="5"/>
  <c r="W14" i="5"/>
  <c r="W7" i="5"/>
  <c r="W6" i="5"/>
  <c r="V37" i="5"/>
  <c r="V30" i="5"/>
  <c r="CC47" i="5"/>
  <c r="CF33" i="5"/>
  <c r="T33" i="5" s="1"/>
  <c r="U35" i="5"/>
  <c r="U33" i="5"/>
  <c r="U36" i="5"/>
  <c r="BG14" i="1"/>
  <c r="BF8" i="1"/>
  <c r="BD8" i="1"/>
  <c r="BE8" i="1"/>
  <c r="BG7" i="1"/>
  <c r="AY37" i="1"/>
  <c r="AZ37" i="1"/>
  <c r="BA37" i="1"/>
  <c r="L30" i="1"/>
  <c r="BB42" i="1"/>
  <c r="BG6" i="1"/>
  <c r="CF45" i="13" l="1"/>
  <c r="T45" i="13" s="1"/>
  <c r="CF39" i="13"/>
  <c r="T39" i="13" s="1"/>
  <c r="BX36" i="13"/>
  <c r="BZ36" i="13"/>
  <c r="BY36" i="13"/>
  <c r="BZ33" i="13"/>
  <c r="BY33" i="13"/>
  <c r="BX33" i="13"/>
  <c r="CA43" i="13"/>
  <c r="CA34" i="13"/>
  <c r="CC26" i="13"/>
  <c r="CC28" i="13"/>
  <c r="CC24" i="13"/>
  <c r="CC22" i="13"/>
  <c r="CC21" i="13"/>
  <c r="CC23" i="13"/>
  <c r="CC27" i="13"/>
  <c r="CC25" i="13"/>
  <c r="CC16" i="13"/>
  <c r="CD17" i="13"/>
  <c r="CD18" i="13" s="1"/>
  <c r="BZ35" i="13"/>
  <c r="BY35" i="13"/>
  <c r="BX35" i="13"/>
  <c r="U34" i="12"/>
  <c r="U39" i="12"/>
  <c r="V45" i="12"/>
  <c r="V4" i="12" s="1"/>
  <c r="V8" i="12" s="1"/>
  <c r="V17" i="12" s="1"/>
  <c r="V18" i="12" s="1"/>
  <c r="O24" i="3" s="1"/>
  <c r="U43" i="12"/>
  <c r="CC34" i="12"/>
  <c r="CE34" i="12"/>
  <c r="CD34" i="12"/>
  <c r="CC43" i="12"/>
  <c r="CD43" i="12"/>
  <c r="CE43" i="12"/>
  <c r="T17" i="11"/>
  <c r="T16" i="11"/>
  <c r="U14" i="11"/>
  <c r="CE30" i="11"/>
  <c r="CF21" i="11"/>
  <c r="S40" i="11"/>
  <c r="S41" i="11"/>
  <c r="S42" i="11"/>
  <c r="S16" i="11"/>
  <c r="U6" i="11"/>
  <c r="U7" i="11"/>
  <c r="CF45" i="7"/>
  <c r="T45" i="7" s="1"/>
  <c r="CF41" i="8"/>
  <c r="T41" i="8" s="1"/>
  <c r="CF40" i="8"/>
  <c r="T40" i="8" s="1"/>
  <c r="S43" i="8"/>
  <c r="U45" i="8"/>
  <c r="U4" i="8" s="1"/>
  <c r="U8" i="8" s="1"/>
  <c r="U17" i="8" s="1"/>
  <c r="U18" i="8" s="1"/>
  <c r="T30" i="8"/>
  <c r="CA34" i="7"/>
  <c r="BZ33" i="7"/>
  <c r="BY33" i="7"/>
  <c r="BX33" i="7"/>
  <c r="BX35" i="7"/>
  <c r="BZ35" i="7"/>
  <c r="BY35" i="7"/>
  <c r="CF39" i="7"/>
  <c r="T39" i="7" s="1"/>
  <c r="BY36" i="7"/>
  <c r="BZ36" i="7"/>
  <c r="BX36" i="7"/>
  <c r="CA43" i="7"/>
  <c r="CC27" i="7"/>
  <c r="CC26" i="7"/>
  <c r="CC25" i="7"/>
  <c r="CC21" i="7"/>
  <c r="CC23" i="7"/>
  <c r="CC24" i="7"/>
  <c r="CC22" i="7"/>
  <c r="CC28" i="7"/>
  <c r="CC16" i="7"/>
  <c r="CD17" i="7"/>
  <c r="CF47" i="5"/>
  <c r="CC49" i="5"/>
  <c r="V43" i="5"/>
  <c r="W45" i="5"/>
  <c r="W4" i="5" s="1"/>
  <c r="W8" i="5" s="1"/>
  <c r="W17" i="5" s="1"/>
  <c r="W18" i="5" s="1"/>
  <c r="V39" i="5"/>
  <c r="V34" i="5"/>
  <c r="BB37" i="1"/>
  <c r="BG8" i="1"/>
  <c r="BD17" i="1"/>
  <c r="L43" i="1"/>
  <c r="M39" i="1"/>
  <c r="M45" i="1"/>
  <c r="L34" i="1"/>
  <c r="Y23" i="3" l="1"/>
  <c r="Z23" i="3" s="1"/>
  <c r="U16" i="8"/>
  <c r="CA35" i="13"/>
  <c r="CD27" i="13"/>
  <c r="CD25" i="13"/>
  <c r="CD28" i="13"/>
  <c r="CD24" i="13"/>
  <c r="CD22" i="13"/>
  <c r="CD21" i="13"/>
  <c r="CD16" i="13"/>
  <c r="CD26" i="13"/>
  <c r="CD23" i="13"/>
  <c r="CE17" i="13"/>
  <c r="CF17" i="13" s="1"/>
  <c r="S17" i="13" s="1"/>
  <c r="CC30" i="13"/>
  <c r="BX47" i="13"/>
  <c r="CA33" i="13"/>
  <c r="BY47" i="13"/>
  <c r="BY49" i="13" s="1"/>
  <c r="BZ47" i="13"/>
  <c r="BZ49" i="13" s="1"/>
  <c r="CA36" i="13"/>
  <c r="W25" i="3"/>
  <c r="X25" i="3" s="1"/>
  <c r="W16" i="5"/>
  <c r="W6" i="12"/>
  <c r="W7" i="12"/>
  <c r="V42" i="12"/>
  <c r="V16" i="12"/>
  <c r="W14" i="12"/>
  <c r="V37" i="12"/>
  <c r="V30" i="12"/>
  <c r="U33" i="12"/>
  <c r="U36" i="12"/>
  <c r="U35" i="12"/>
  <c r="CE35" i="12"/>
  <c r="CD35" i="12"/>
  <c r="CC35" i="12"/>
  <c r="CD33" i="12"/>
  <c r="CE33" i="12"/>
  <c r="CC33" i="12"/>
  <c r="CE36" i="12"/>
  <c r="CC36" i="12"/>
  <c r="CD36" i="12"/>
  <c r="CF43" i="12"/>
  <c r="T43" i="12" s="1"/>
  <c r="CF34" i="12"/>
  <c r="T34" i="12" s="1"/>
  <c r="CE40" i="11"/>
  <c r="CD40" i="11"/>
  <c r="CC40" i="11"/>
  <c r="S37" i="11"/>
  <c r="T21" i="11"/>
  <c r="CF30" i="11"/>
  <c r="CD42" i="11"/>
  <c r="CE42" i="11"/>
  <c r="CC42" i="11"/>
  <c r="CD41" i="11"/>
  <c r="CC41" i="11"/>
  <c r="CE41" i="11"/>
  <c r="P24" i="3"/>
  <c r="CA36" i="7"/>
  <c r="U42" i="8"/>
  <c r="V6" i="8"/>
  <c r="U37" i="8"/>
  <c r="V7" i="8"/>
  <c r="V14" i="8"/>
  <c r="U30" i="8"/>
  <c r="CC43" i="8"/>
  <c r="CE43" i="8"/>
  <c r="CE47" i="8" s="1"/>
  <c r="CE49" i="8" s="1"/>
  <c r="CD43" i="8"/>
  <c r="CD47" i="8" s="1"/>
  <c r="CD49" i="8" s="1"/>
  <c r="CD18" i="7"/>
  <c r="CA35" i="7"/>
  <c r="BX47" i="7"/>
  <c r="CA33" i="7"/>
  <c r="BY47" i="7"/>
  <c r="BY49" i="7" s="1"/>
  <c r="BZ47" i="7"/>
  <c r="BZ49" i="7" s="1"/>
  <c r="CC30" i="7"/>
  <c r="V35" i="5"/>
  <c r="V33" i="5"/>
  <c r="V36" i="5"/>
  <c r="W42" i="5"/>
  <c r="W37" i="5"/>
  <c r="W30" i="5"/>
  <c r="S47" i="5"/>
  <c r="T47" i="5" s="1"/>
  <c r="CF49" i="5"/>
  <c r="S49" i="5" s="1"/>
  <c r="BD45" i="1"/>
  <c r="BE45" i="1"/>
  <c r="BF45" i="1"/>
  <c r="N4" i="1"/>
  <c r="BF39" i="1"/>
  <c r="BE39" i="1"/>
  <c r="BD39" i="1"/>
  <c r="AZ43" i="1"/>
  <c r="BA43" i="1"/>
  <c r="AY43" i="1"/>
  <c r="BD18" i="1"/>
  <c r="BA34" i="1"/>
  <c r="AZ34" i="1"/>
  <c r="L35" i="1"/>
  <c r="L36" i="1"/>
  <c r="L33" i="1"/>
  <c r="AY34" i="1"/>
  <c r="CD30" i="13" l="1"/>
  <c r="CE18" i="13"/>
  <c r="CE24" i="13" s="1"/>
  <c r="CF24" i="13" s="1"/>
  <c r="T24" i="13" s="1"/>
  <c r="CE27" i="13"/>
  <c r="CF27" i="13" s="1"/>
  <c r="T27" i="13" s="1"/>
  <c r="CE26" i="13"/>
  <c r="CF26" i="13" s="1"/>
  <c r="T26" i="13" s="1"/>
  <c r="CE25" i="13"/>
  <c r="CF25" i="13" s="1"/>
  <c r="T25" i="13" s="1"/>
  <c r="CE22" i="13"/>
  <c r="CF22" i="13" s="1"/>
  <c r="T22" i="13" s="1"/>
  <c r="CE21" i="13"/>
  <c r="CE23" i="13"/>
  <c r="CF23" i="13" s="1"/>
  <c r="T23" i="13" s="1"/>
  <c r="CA47" i="13"/>
  <c r="BX49" i="13"/>
  <c r="CF36" i="12"/>
  <c r="T36" i="12" s="1"/>
  <c r="V39" i="12"/>
  <c r="W45" i="12"/>
  <c r="W4" i="12" s="1"/>
  <c r="W8" i="12" s="1"/>
  <c r="W17" i="12" s="1"/>
  <c r="W18" i="12" s="1"/>
  <c r="O25" i="3" s="1"/>
  <c r="V43" i="12"/>
  <c r="V34" i="12"/>
  <c r="CF35" i="12"/>
  <c r="T35" i="12" s="1"/>
  <c r="CE47" i="12"/>
  <c r="CE49" i="12" s="1"/>
  <c r="CC47" i="12"/>
  <c r="CF33" i="12"/>
  <c r="T33" i="12" s="1"/>
  <c r="CD47" i="12"/>
  <c r="CD49" i="12" s="1"/>
  <c r="CF40" i="11"/>
  <c r="T40" i="11" s="1"/>
  <c r="CF41" i="11"/>
  <c r="T41" i="11" s="1"/>
  <c r="S30" i="11"/>
  <c r="CC37" i="11"/>
  <c r="CE37" i="11"/>
  <c r="CD37" i="11"/>
  <c r="CF42" i="11"/>
  <c r="T42" i="11" s="1"/>
  <c r="U43" i="8"/>
  <c r="U39" i="8"/>
  <c r="V45" i="8"/>
  <c r="V4" i="8" s="1"/>
  <c r="V8" i="8" s="1"/>
  <c r="V17" i="8" s="1"/>
  <c r="V18" i="8" s="1"/>
  <c r="U34" i="8"/>
  <c r="CF43" i="8"/>
  <c r="T43" i="8" s="1"/>
  <c r="CC47" i="8"/>
  <c r="CA47" i="7"/>
  <c r="BX49" i="7"/>
  <c r="CD27" i="7"/>
  <c r="CD26" i="7"/>
  <c r="CD22" i="7"/>
  <c r="CD21" i="7"/>
  <c r="CD24" i="7"/>
  <c r="CD16" i="7"/>
  <c r="CD23" i="7"/>
  <c r="CD28" i="7"/>
  <c r="CD25" i="7"/>
  <c r="CE17" i="7"/>
  <c r="CF17" i="7" s="1"/>
  <c r="S17" i="7" s="1"/>
  <c r="W43" i="5"/>
  <c r="W39" i="5"/>
  <c r="W34" i="5"/>
  <c r="U41" i="5"/>
  <c r="U40" i="5"/>
  <c r="T49" i="5"/>
  <c r="BG39" i="1"/>
  <c r="BA36" i="1"/>
  <c r="AZ36" i="1"/>
  <c r="AY36" i="1"/>
  <c r="AY35" i="1"/>
  <c r="AZ35" i="1"/>
  <c r="BA35" i="1"/>
  <c r="BD24" i="1"/>
  <c r="BD27" i="1"/>
  <c r="BD22" i="1"/>
  <c r="BD25" i="1"/>
  <c r="BD28" i="1"/>
  <c r="BD23" i="1"/>
  <c r="BD21" i="1"/>
  <c r="BD26" i="1"/>
  <c r="BD16" i="1"/>
  <c r="BE17" i="1"/>
  <c r="BE18" i="1" s="1"/>
  <c r="BI4" i="1"/>
  <c r="BJ4" i="1"/>
  <c r="BK4" i="1"/>
  <c r="O4" i="1"/>
  <c r="BB34" i="1"/>
  <c r="BB43" i="1"/>
  <c r="BA33" i="1"/>
  <c r="AZ33" i="1"/>
  <c r="AY33" i="1"/>
  <c r="BG45" i="1"/>
  <c r="Y24" i="3" l="1"/>
  <c r="Z24" i="3" s="1"/>
  <c r="V16" i="8"/>
  <c r="CE28" i="13"/>
  <c r="CF28" i="13" s="1"/>
  <c r="T28" i="13" s="1"/>
  <c r="CE16" i="13"/>
  <c r="CF16" i="13" s="1"/>
  <c r="CF18" i="13"/>
  <c r="S18" i="13" s="1"/>
  <c r="U7" i="13" s="1"/>
  <c r="T18" i="13"/>
  <c r="U14" i="13" s="1"/>
  <c r="R47" i="13"/>
  <c r="CA49" i="13"/>
  <c r="R49" i="13" s="1"/>
  <c r="CF21" i="13"/>
  <c r="V36" i="12"/>
  <c r="V35" i="12"/>
  <c r="V33" i="12"/>
  <c r="W42" i="12"/>
  <c r="W16" i="12"/>
  <c r="W37" i="12"/>
  <c r="W30" i="12"/>
  <c r="CF47" i="12"/>
  <c r="S47" i="12" s="1"/>
  <c r="T47" i="12" s="1"/>
  <c r="CC49" i="12"/>
  <c r="CF37" i="11"/>
  <c r="T37" i="11" s="1"/>
  <c r="U45" i="11"/>
  <c r="U4" i="11" s="1"/>
  <c r="U8" i="11" s="1"/>
  <c r="U17" i="11" s="1"/>
  <c r="U18" i="11" s="1"/>
  <c r="S23" i="3" s="1"/>
  <c r="T23" i="3" s="1"/>
  <c r="S34" i="11"/>
  <c r="S43" i="11"/>
  <c r="T30" i="11"/>
  <c r="P25" i="3"/>
  <c r="CF47" i="8"/>
  <c r="CC49" i="8"/>
  <c r="U35" i="8"/>
  <c r="U36" i="8"/>
  <c r="U33" i="8"/>
  <c r="V42" i="8"/>
  <c r="W14" i="8"/>
  <c r="W7" i="8"/>
  <c r="W6" i="8"/>
  <c r="V37" i="8"/>
  <c r="V30" i="8"/>
  <c r="U47" i="5"/>
  <c r="U49" i="5" s="1"/>
  <c r="CE18" i="7"/>
  <c r="CD30" i="7"/>
  <c r="R47" i="7"/>
  <c r="CA49" i="7"/>
  <c r="R49" i="7" s="1"/>
  <c r="W36" i="5"/>
  <c r="W33" i="5"/>
  <c r="W35" i="5"/>
  <c r="AZ47" i="1"/>
  <c r="AZ49" i="1" s="1"/>
  <c r="BE24" i="1"/>
  <c r="BE21" i="1"/>
  <c r="BE26" i="1"/>
  <c r="BE25" i="1"/>
  <c r="BE28" i="1"/>
  <c r="BE27" i="1"/>
  <c r="BE22" i="1"/>
  <c r="BE23" i="1"/>
  <c r="BE16" i="1"/>
  <c r="BF17" i="1"/>
  <c r="BG17" i="1" s="1"/>
  <c r="M17" i="1" s="1"/>
  <c r="BD30" i="1"/>
  <c r="BB35" i="1"/>
  <c r="BB33" i="1"/>
  <c r="AY47" i="1"/>
  <c r="BB36" i="1"/>
  <c r="BL4" i="1"/>
  <c r="BA47" i="1"/>
  <c r="BA49" i="1" s="1"/>
  <c r="S42" i="13" l="1"/>
  <c r="CD42" i="13" s="1"/>
  <c r="CE30" i="13"/>
  <c r="V41" i="5"/>
  <c r="U6" i="13"/>
  <c r="S16" i="13"/>
  <c r="T16" i="13"/>
  <c r="AA22" i="3"/>
  <c r="AB22" i="3" s="1"/>
  <c r="T17" i="13"/>
  <c r="S37" i="13"/>
  <c r="T21" i="13"/>
  <c r="CF30" i="13"/>
  <c r="S41" i="13"/>
  <c r="S40" i="13"/>
  <c r="CC42" i="13"/>
  <c r="CE42" i="13"/>
  <c r="W39" i="12"/>
  <c r="W43" i="12"/>
  <c r="W34" i="12"/>
  <c r="CF49" i="12"/>
  <c r="S49" i="12" s="1"/>
  <c r="CC43" i="11"/>
  <c r="CD43" i="11"/>
  <c r="CE43" i="11"/>
  <c r="S35" i="11"/>
  <c r="CD34" i="11"/>
  <c r="CC34" i="11"/>
  <c r="S33" i="11"/>
  <c r="S36" i="11"/>
  <c r="CE34" i="11"/>
  <c r="U42" i="11"/>
  <c r="U16" i="11"/>
  <c r="V14" i="11"/>
  <c r="V6" i="11"/>
  <c r="V7" i="11"/>
  <c r="U37" i="11"/>
  <c r="U30" i="11"/>
  <c r="W45" i="8"/>
  <c r="W4" i="8" s="1"/>
  <c r="W8" i="8" s="1"/>
  <c r="W17" i="8" s="1"/>
  <c r="W18" i="8" s="1"/>
  <c r="V43" i="8"/>
  <c r="V39" i="8"/>
  <c r="V34" i="8"/>
  <c r="S47" i="8"/>
  <c r="T47" i="8" s="1"/>
  <c r="CF49" i="8"/>
  <c r="S49" i="8" s="1"/>
  <c r="V40" i="5"/>
  <c r="S40" i="7"/>
  <c r="S41" i="7"/>
  <c r="CE25" i="7"/>
  <c r="CF25" i="7" s="1"/>
  <c r="T25" i="7" s="1"/>
  <c r="CE28" i="7"/>
  <c r="CF28" i="7" s="1"/>
  <c r="T28" i="7" s="1"/>
  <c r="T18" i="7"/>
  <c r="CE23" i="7"/>
  <c r="CF23" i="7" s="1"/>
  <c r="T23" i="7" s="1"/>
  <c r="CE26" i="7"/>
  <c r="CF26" i="7" s="1"/>
  <c r="T26" i="7" s="1"/>
  <c r="CF18" i="7"/>
  <c r="S18" i="7" s="1"/>
  <c r="CE24" i="7"/>
  <c r="CF24" i="7" s="1"/>
  <c r="T24" i="7" s="1"/>
  <c r="CE22" i="7"/>
  <c r="CF22" i="7" s="1"/>
  <c r="T22" i="7" s="1"/>
  <c r="CE27" i="7"/>
  <c r="CF27" i="7" s="1"/>
  <c r="T27" i="7" s="1"/>
  <c r="CE16" i="7"/>
  <c r="CF16" i="7" s="1"/>
  <c r="CE21" i="7"/>
  <c r="BF18" i="1"/>
  <c r="BE30" i="1"/>
  <c r="BB47" i="1"/>
  <c r="AY49" i="1"/>
  <c r="Y25" i="3" l="1"/>
  <c r="Z25" i="3" s="1"/>
  <c r="W16" i="8"/>
  <c r="CD40" i="13"/>
  <c r="CE40" i="13"/>
  <c r="CC40" i="13"/>
  <c r="CF40" i="13" s="1"/>
  <c r="T40" i="13" s="1"/>
  <c r="CD41" i="13"/>
  <c r="CE41" i="13"/>
  <c r="CC41" i="13"/>
  <c r="S30" i="13"/>
  <c r="CF42" i="13"/>
  <c r="T42" i="13" s="1"/>
  <c r="CD37" i="13"/>
  <c r="CC37" i="13"/>
  <c r="CE37" i="13"/>
  <c r="T16" i="7"/>
  <c r="U22" i="3"/>
  <c r="V22" i="3" s="1"/>
  <c r="U40" i="12"/>
  <c r="U41" i="12"/>
  <c r="T49" i="12"/>
  <c r="W36" i="12"/>
  <c r="W35" i="12"/>
  <c r="W33" i="12"/>
  <c r="CF34" i="11"/>
  <c r="T34" i="11" s="1"/>
  <c r="CD36" i="11"/>
  <c r="CC36" i="11"/>
  <c r="CE36" i="11"/>
  <c r="CE33" i="11"/>
  <c r="CD33" i="11"/>
  <c r="CC33" i="11"/>
  <c r="CE35" i="11"/>
  <c r="CC35" i="11"/>
  <c r="CD35" i="11"/>
  <c r="U43" i="11"/>
  <c r="U39" i="11"/>
  <c r="U34" i="11"/>
  <c r="V45" i="11"/>
  <c r="V4" i="11" s="1"/>
  <c r="V8" i="11" s="1"/>
  <c r="V17" i="11" s="1"/>
  <c r="V18" i="11" s="1"/>
  <c r="S24" i="3" s="1"/>
  <c r="T24" i="3" s="1"/>
  <c r="CF43" i="11"/>
  <c r="T43" i="11" s="1"/>
  <c r="U40" i="8"/>
  <c r="U41" i="8"/>
  <c r="T49" i="8"/>
  <c r="V35" i="8"/>
  <c r="V36" i="8"/>
  <c r="V33" i="8"/>
  <c r="W42" i="8"/>
  <c r="W37" i="8"/>
  <c r="W30" i="8"/>
  <c r="V47" i="5"/>
  <c r="V49" i="5" s="1"/>
  <c r="CE30" i="7"/>
  <c r="CF21" i="7"/>
  <c r="T17" i="7"/>
  <c r="U14" i="7"/>
  <c r="S42" i="7"/>
  <c r="S16" i="7"/>
  <c r="U7" i="7"/>
  <c r="U6" i="7"/>
  <c r="CD41" i="7"/>
  <c r="CC41" i="7"/>
  <c r="CE41" i="7"/>
  <c r="CE40" i="7"/>
  <c r="CC40" i="7"/>
  <c r="CD40" i="7"/>
  <c r="BF25" i="1"/>
  <c r="BG25" i="1" s="1"/>
  <c r="BF24" i="1"/>
  <c r="BG24" i="1" s="1"/>
  <c r="BF22" i="1"/>
  <c r="BG22" i="1" s="1"/>
  <c r="BF26" i="1"/>
  <c r="BG26" i="1" s="1"/>
  <c r="BF28" i="1"/>
  <c r="BG28" i="1" s="1"/>
  <c r="BF23" i="1"/>
  <c r="BG23" i="1" s="1"/>
  <c r="BF16" i="1"/>
  <c r="BG16" i="1" s="1"/>
  <c r="BF27" i="1"/>
  <c r="BG27" i="1" s="1"/>
  <c r="BF21" i="1"/>
  <c r="BG18" i="1"/>
  <c r="M18" i="1" s="1"/>
  <c r="L47" i="1"/>
  <c r="BB49" i="1"/>
  <c r="L49" i="1" s="1"/>
  <c r="W41" i="5" l="1"/>
  <c r="CD47" i="11"/>
  <c r="CD49" i="11" s="1"/>
  <c r="CF37" i="13"/>
  <c r="T37" i="13" s="1"/>
  <c r="U45" i="13"/>
  <c r="U4" i="13" s="1"/>
  <c r="U8" i="13" s="1"/>
  <c r="U17" i="13" s="1"/>
  <c r="U18" i="13" s="1"/>
  <c r="AA23" i="3" s="1"/>
  <c r="AB23" i="3" s="1"/>
  <c r="S43" i="13"/>
  <c r="S34" i="13"/>
  <c r="T30" i="13"/>
  <c r="CF41" i="13"/>
  <c r="T41" i="13" s="1"/>
  <c r="U47" i="12"/>
  <c r="U49" i="12" s="1"/>
  <c r="CF35" i="11"/>
  <c r="T35" i="11" s="1"/>
  <c r="V42" i="11"/>
  <c r="V16" i="11"/>
  <c r="W14" i="11"/>
  <c r="W6" i="11"/>
  <c r="W7" i="11"/>
  <c r="V37" i="11"/>
  <c r="V30" i="11"/>
  <c r="CC47" i="11"/>
  <c r="CF33" i="11"/>
  <c r="T33" i="11" s="1"/>
  <c r="CE47" i="11"/>
  <c r="CE49" i="11" s="1"/>
  <c r="U36" i="11"/>
  <c r="U35" i="11"/>
  <c r="U33" i="11"/>
  <c r="CF36" i="11"/>
  <c r="T36" i="11" s="1"/>
  <c r="W43" i="8"/>
  <c r="W39" i="8"/>
  <c r="W34" i="8"/>
  <c r="U47" i="8"/>
  <c r="U49" i="8" s="1"/>
  <c r="W40" i="5"/>
  <c r="CF40" i="7"/>
  <c r="T40" i="7" s="1"/>
  <c r="CD42" i="7"/>
  <c r="CE42" i="7"/>
  <c r="CC42" i="7"/>
  <c r="S37" i="7"/>
  <c r="T21" i="7"/>
  <c r="CF41" i="7"/>
  <c r="T41" i="7" s="1"/>
  <c r="CF30" i="7"/>
  <c r="N14" i="1"/>
  <c r="O14" i="1" s="1"/>
  <c r="M40" i="1"/>
  <c r="M41" i="1"/>
  <c r="N6" i="1"/>
  <c r="N7" i="1"/>
  <c r="M16" i="1"/>
  <c r="M42" i="1"/>
  <c r="BF30" i="1"/>
  <c r="BG21" i="1"/>
  <c r="CC34" i="13" l="1"/>
  <c r="S33" i="13"/>
  <c r="S35" i="13"/>
  <c r="CE34" i="13"/>
  <c r="CD34" i="13"/>
  <c r="S36" i="13"/>
  <c r="CD43" i="13"/>
  <c r="CE43" i="13"/>
  <c r="CC43" i="13"/>
  <c r="U42" i="13"/>
  <c r="U16" i="13"/>
  <c r="V6" i="13"/>
  <c r="V14" i="13"/>
  <c r="V7" i="13"/>
  <c r="U37" i="13"/>
  <c r="U30" i="13"/>
  <c r="V40" i="12"/>
  <c r="V41" i="12"/>
  <c r="CF47" i="11"/>
  <c r="CC49" i="11"/>
  <c r="V43" i="11"/>
  <c r="V34" i="11"/>
  <c r="V39" i="11"/>
  <c r="W45" i="11"/>
  <c r="W4" i="11" s="1"/>
  <c r="W8" i="11" s="1"/>
  <c r="W17" i="11" s="1"/>
  <c r="W18" i="11" s="1"/>
  <c r="S25" i="3" s="1"/>
  <c r="T25" i="3" s="1"/>
  <c r="CF42" i="7"/>
  <c r="T42" i="7" s="1"/>
  <c r="V41" i="8"/>
  <c r="V40" i="8"/>
  <c r="W36" i="8"/>
  <c r="W33" i="8"/>
  <c r="W35" i="8"/>
  <c r="W47" i="5"/>
  <c r="W49" i="5" s="1"/>
  <c r="CE37" i="7"/>
  <c r="CD37" i="7"/>
  <c r="CC37" i="7"/>
  <c r="S30" i="7"/>
  <c r="N8" i="1"/>
  <c r="BI14" i="1"/>
  <c r="BK14" i="1"/>
  <c r="BJ14" i="1"/>
  <c r="BF42" i="1"/>
  <c r="BE42" i="1"/>
  <c r="BD42" i="1"/>
  <c r="BE40" i="1"/>
  <c r="BF40" i="1"/>
  <c r="BD40" i="1"/>
  <c r="BJ7" i="1"/>
  <c r="BK7" i="1"/>
  <c r="BI7" i="1"/>
  <c r="O7" i="1"/>
  <c r="BJ6" i="1"/>
  <c r="BI6" i="1"/>
  <c r="BK6" i="1"/>
  <c r="O6" i="1"/>
  <c r="BD41" i="1"/>
  <c r="BF41" i="1"/>
  <c r="BE41" i="1"/>
  <c r="M37" i="1"/>
  <c r="BG30" i="1"/>
  <c r="CC36" i="13" l="1"/>
  <c r="CE36" i="13"/>
  <c r="CD36" i="13"/>
  <c r="U34" i="13"/>
  <c r="U43" i="13"/>
  <c r="V45" i="13"/>
  <c r="V4" i="13" s="1"/>
  <c r="V8" i="13" s="1"/>
  <c r="V17" i="13" s="1"/>
  <c r="V18" i="13" s="1"/>
  <c r="AA24" i="3" s="1"/>
  <c r="AB24" i="3" s="1"/>
  <c r="U39" i="13"/>
  <c r="CD35" i="13"/>
  <c r="CE35" i="13"/>
  <c r="CC35" i="13"/>
  <c r="CD33" i="13"/>
  <c r="CC33" i="13"/>
  <c r="CE33" i="13"/>
  <c r="CF43" i="13"/>
  <c r="T43" i="13" s="1"/>
  <c r="CF34" i="13"/>
  <c r="T34" i="13" s="1"/>
  <c r="V47" i="12"/>
  <c r="V49" i="12" s="1"/>
  <c r="V36" i="11"/>
  <c r="V35" i="11"/>
  <c r="V33" i="11"/>
  <c r="W42" i="11"/>
  <c r="W16" i="11"/>
  <c r="W37" i="11"/>
  <c r="W30" i="11"/>
  <c r="S47" i="11"/>
  <c r="T47" i="11" s="1"/>
  <c r="CF49" i="11"/>
  <c r="S49" i="11" s="1"/>
  <c r="CF37" i="7"/>
  <c r="T37" i="7" s="1"/>
  <c r="V47" i="8"/>
  <c r="V49" i="8" s="1"/>
  <c r="U45" i="7"/>
  <c r="U4" i="7" s="1"/>
  <c r="U8" i="7" s="1"/>
  <c r="U17" i="7" s="1"/>
  <c r="U18" i="7" s="1"/>
  <c r="S34" i="7"/>
  <c r="S43" i="7"/>
  <c r="T30" i="7"/>
  <c r="BL14" i="1"/>
  <c r="O8" i="1"/>
  <c r="BK8" i="1"/>
  <c r="BJ8" i="1"/>
  <c r="BI8" i="1"/>
  <c r="BL7" i="1"/>
  <c r="BG40" i="1"/>
  <c r="BL6" i="1"/>
  <c r="BF37" i="1"/>
  <c r="BE37" i="1"/>
  <c r="BD37" i="1"/>
  <c r="BG42" i="1"/>
  <c r="M30" i="1"/>
  <c r="BG41" i="1"/>
  <c r="CE47" i="13" l="1"/>
  <c r="CE49" i="13" s="1"/>
  <c r="W41" i="8"/>
  <c r="CD47" i="13"/>
  <c r="CD49" i="13" s="1"/>
  <c r="CF35" i="13"/>
  <c r="T35" i="13" s="1"/>
  <c r="CC47" i="13"/>
  <c r="CF33" i="13"/>
  <c r="T33" i="13" s="1"/>
  <c r="V42" i="13"/>
  <c r="W14" i="13"/>
  <c r="W6" i="13"/>
  <c r="W7" i="13"/>
  <c r="V16" i="13"/>
  <c r="V37" i="13"/>
  <c r="V30" i="13"/>
  <c r="U36" i="13"/>
  <c r="U33" i="13"/>
  <c r="U35" i="13"/>
  <c r="CF36" i="13"/>
  <c r="T36" i="13" s="1"/>
  <c r="U16" i="7"/>
  <c r="U23" i="3"/>
  <c r="V23" i="3" s="1"/>
  <c r="W40" i="12"/>
  <c r="W41" i="12"/>
  <c r="W39" i="11"/>
  <c r="W34" i="11"/>
  <c r="W43" i="11"/>
  <c r="U41" i="11"/>
  <c r="U40" i="11"/>
  <c r="T49" i="11"/>
  <c r="W40" i="8"/>
  <c r="CC43" i="7"/>
  <c r="CD43" i="7"/>
  <c r="CE43" i="7"/>
  <c r="CE34" i="7"/>
  <c r="CD34" i="7"/>
  <c r="CC34" i="7"/>
  <c r="S35" i="7"/>
  <c r="S36" i="7"/>
  <c r="S33" i="7"/>
  <c r="U42" i="7"/>
  <c r="V14" i="7"/>
  <c r="U37" i="7"/>
  <c r="V6" i="7"/>
  <c r="V7" i="7"/>
  <c r="U30" i="7"/>
  <c r="BG37" i="1"/>
  <c r="BL8" i="1"/>
  <c r="BI17" i="1"/>
  <c r="N45" i="1"/>
  <c r="M34" i="1"/>
  <c r="N39" i="1"/>
  <c r="M43" i="1"/>
  <c r="W45" i="13" l="1"/>
  <c r="W4" i="13" s="1"/>
  <c r="W8" i="13" s="1"/>
  <c r="W17" i="13" s="1"/>
  <c r="W18" i="13" s="1"/>
  <c r="AA25" i="3" s="1"/>
  <c r="AB25" i="3" s="1"/>
  <c r="V39" i="13"/>
  <c r="V43" i="13"/>
  <c r="V34" i="13"/>
  <c r="CF47" i="13"/>
  <c r="CC49" i="13"/>
  <c r="W47" i="12"/>
  <c r="W49" i="12" s="1"/>
  <c r="U47" i="11"/>
  <c r="U49" i="11" s="1"/>
  <c r="W33" i="11"/>
  <c r="W35" i="11"/>
  <c r="W36" i="11"/>
  <c r="CF34" i="7"/>
  <c r="T34" i="7" s="1"/>
  <c r="W47" i="8"/>
  <c r="W49" i="8" s="1"/>
  <c r="CD36" i="7"/>
  <c r="CC36" i="7"/>
  <c r="CE36" i="7"/>
  <c r="CC35" i="7"/>
  <c r="CE35" i="7"/>
  <c r="CD35" i="7"/>
  <c r="U43" i="7"/>
  <c r="V45" i="7"/>
  <c r="V4" i="7" s="1"/>
  <c r="V8" i="7" s="1"/>
  <c r="V17" i="7" s="1"/>
  <c r="V18" i="7" s="1"/>
  <c r="U39" i="7"/>
  <c r="U34" i="7"/>
  <c r="CC33" i="7"/>
  <c r="CD33" i="7"/>
  <c r="CE33" i="7"/>
  <c r="CF43" i="7"/>
  <c r="T43" i="7" s="1"/>
  <c r="BE34" i="1"/>
  <c r="M35" i="1"/>
  <c r="M36" i="1"/>
  <c r="BF34" i="1"/>
  <c r="BD34" i="1"/>
  <c r="M33" i="1"/>
  <c r="BE43" i="1"/>
  <c r="BF43" i="1"/>
  <c r="BD43" i="1"/>
  <c r="BK45" i="1"/>
  <c r="BJ45" i="1"/>
  <c r="BI45" i="1"/>
  <c r="P4" i="1"/>
  <c r="BI18" i="1"/>
  <c r="BK39" i="1"/>
  <c r="BJ39" i="1"/>
  <c r="BI39" i="1"/>
  <c r="V40" i="11" l="1"/>
  <c r="S47" i="13"/>
  <c r="T47" i="13" s="1"/>
  <c r="CF49" i="13"/>
  <c r="S49" i="13" s="1"/>
  <c r="W42" i="13"/>
  <c r="W16" i="13"/>
  <c r="W37" i="13"/>
  <c r="W30" i="13"/>
  <c r="V33" i="13"/>
  <c r="V36" i="13"/>
  <c r="V35" i="13"/>
  <c r="CE47" i="7"/>
  <c r="CE49" i="7" s="1"/>
  <c r="V16" i="7"/>
  <c r="U24" i="3"/>
  <c r="V24" i="3" s="1"/>
  <c r="V41" i="11"/>
  <c r="CD47" i="7"/>
  <c r="CD49" i="7" s="1"/>
  <c r="CC47" i="7"/>
  <c r="CF33" i="7"/>
  <c r="T33" i="7" s="1"/>
  <c r="CF35" i="7"/>
  <c r="T35" i="7" s="1"/>
  <c r="U36" i="7"/>
  <c r="U33" i="7"/>
  <c r="U35" i="7"/>
  <c r="CF36" i="7"/>
  <c r="T36" i="7" s="1"/>
  <c r="V42" i="7"/>
  <c r="W14" i="7"/>
  <c r="W6" i="7"/>
  <c r="W7" i="7"/>
  <c r="V37" i="7"/>
  <c r="V30" i="7"/>
  <c r="BG34" i="1"/>
  <c r="BI27" i="1"/>
  <c r="BI24" i="1"/>
  <c r="BI28" i="1"/>
  <c r="BI22" i="1"/>
  <c r="BI23" i="1"/>
  <c r="BI26" i="1"/>
  <c r="BI25" i="1"/>
  <c r="BI21" i="1"/>
  <c r="BI16" i="1"/>
  <c r="BJ17" i="1"/>
  <c r="BN4" i="1"/>
  <c r="BO4" i="1"/>
  <c r="BP4" i="1"/>
  <c r="BL45" i="1"/>
  <c r="O45" i="1" s="1"/>
  <c r="BD33" i="1"/>
  <c r="BF33" i="1"/>
  <c r="BE33" i="1"/>
  <c r="BE36" i="1"/>
  <c r="BD36" i="1"/>
  <c r="BF36" i="1"/>
  <c r="BL39" i="1"/>
  <c r="O39" i="1" s="1"/>
  <c r="BE35" i="1"/>
  <c r="BF35" i="1"/>
  <c r="BD35" i="1"/>
  <c r="BG43" i="1"/>
  <c r="W43" i="13" l="1"/>
  <c r="W39" i="13"/>
  <c r="W34" i="13"/>
  <c r="U41" i="13"/>
  <c r="U40" i="13"/>
  <c r="T49" i="13"/>
  <c r="V47" i="11"/>
  <c r="V49" i="11" s="1"/>
  <c r="W45" i="7"/>
  <c r="W4" i="7" s="1"/>
  <c r="W8" i="7" s="1"/>
  <c r="W17" i="7" s="1"/>
  <c r="W18" i="7" s="1"/>
  <c r="V43" i="7"/>
  <c r="V34" i="7"/>
  <c r="V39" i="7"/>
  <c r="CF47" i="7"/>
  <c r="CC49" i="7"/>
  <c r="BQ4" i="1"/>
  <c r="BE47" i="1"/>
  <c r="BE49" i="1" s="1"/>
  <c r="BG36" i="1"/>
  <c r="BG35" i="1"/>
  <c r="BF47" i="1"/>
  <c r="BF49" i="1" s="1"/>
  <c r="BJ18" i="1"/>
  <c r="BG33" i="1"/>
  <c r="BD47" i="1"/>
  <c r="BI30" i="1"/>
  <c r="U47" i="13" l="1"/>
  <c r="U49" i="13" s="1"/>
  <c r="V40" i="13"/>
  <c r="V41" i="13"/>
  <c r="W35" i="13"/>
  <c r="W36" i="13"/>
  <c r="W33" i="13"/>
  <c r="W16" i="7"/>
  <c r="U25" i="3"/>
  <c r="V25" i="3" s="1"/>
  <c r="W40" i="11"/>
  <c r="W41" i="11"/>
  <c r="S47" i="7"/>
  <c r="T47" i="7" s="1"/>
  <c r="CF49" i="7"/>
  <c r="S49" i="7" s="1"/>
  <c r="W42" i="7"/>
  <c r="W37" i="7"/>
  <c r="W30" i="7"/>
  <c r="V36" i="7"/>
  <c r="V33" i="7"/>
  <c r="V35" i="7"/>
  <c r="BJ16" i="1"/>
  <c r="BJ25" i="1"/>
  <c r="BJ23" i="1"/>
  <c r="BJ24" i="1"/>
  <c r="BJ27" i="1"/>
  <c r="BJ26" i="1"/>
  <c r="BJ28" i="1"/>
  <c r="BJ22" i="1"/>
  <c r="BJ21" i="1"/>
  <c r="BK17" i="1"/>
  <c r="BL17" i="1" s="1"/>
  <c r="N17" i="1" s="1"/>
  <c r="BG47" i="1"/>
  <c r="BD49" i="1"/>
  <c r="V47" i="13" l="1"/>
  <c r="V49" i="13" s="1"/>
  <c r="W47" i="11"/>
  <c r="W49" i="11" s="1"/>
  <c r="U41" i="7"/>
  <c r="U40" i="7"/>
  <c r="T49" i="7"/>
  <c r="W39" i="7"/>
  <c r="W43" i="7"/>
  <c r="W34" i="7"/>
  <c r="BK18" i="1"/>
  <c r="BK28" i="1" s="1"/>
  <c r="BL28" i="1" s="1"/>
  <c r="O28" i="1" s="1"/>
  <c r="M47" i="1"/>
  <c r="BG49" i="1"/>
  <c r="M49" i="1" s="1"/>
  <c r="BJ30" i="1"/>
  <c r="W41" i="13" l="1"/>
  <c r="W40" i="13"/>
  <c r="U47" i="7"/>
  <c r="U49" i="7" s="1"/>
  <c r="W35" i="7"/>
  <c r="W36" i="7"/>
  <c r="W33" i="7"/>
  <c r="BK16" i="1"/>
  <c r="BL16" i="1" s="1"/>
  <c r="BK27" i="1"/>
  <c r="BL27" i="1" s="1"/>
  <c r="O27" i="1" s="1"/>
  <c r="BK26" i="1"/>
  <c r="BL26" i="1" s="1"/>
  <c r="O26" i="1" s="1"/>
  <c r="BK24" i="1"/>
  <c r="BL24" i="1" s="1"/>
  <c r="O24" i="1" s="1"/>
  <c r="BK23" i="1"/>
  <c r="BL23" i="1" s="1"/>
  <c r="O23" i="1" s="1"/>
  <c r="BK25" i="1"/>
  <c r="BL25" i="1" s="1"/>
  <c r="O25" i="1" s="1"/>
  <c r="BL18" i="1"/>
  <c r="N18" i="1" s="1"/>
  <c r="BK21" i="1"/>
  <c r="BL21" i="1" s="1"/>
  <c r="O21" i="1" s="1"/>
  <c r="O18" i="1"/>
  <c r="BK22" i="1"/>
  <c r="BL22" i="1" s="1"/>
  <c r="O22" i="1" s="1"/>
  <c r="N41" i="1"/>
  <c r="N40" i="1"/>
  <c r="W47" i="13" l="1"/>
  <c r="W49" i="13" s="1"/>
  <c r="Q21" i="3"/>
  <c r="R21" i="3" s="1"/>
  <c r="O16" i="1"/>
  <c r="V40" i="7"/>
  <c r="V41" i="7"/>
  <c r="P14" i="1"/>
  <c r="O17" i="1"/>
  <c r="BK30" i="1"/>
  <c r="BL30" i="1" s="1"/>
  <c r="N30" i="1" s="1"/>
  <c r="N37" i="1"/>
  <c r="BK37" i="1" s="1"/>
  <c r="BK40" i="1"/>
  <c r="BJ40" i="1"/>
  <c r="BI40" i="1"/>
  <c r="BK41" i="1"/>
  <c r="BI41" i="1"/>
  <c r="BJ41" i="1"/>
  <c r="N16" i="1"/>
  <c r="P6" i="1"/>
  <c r="P7" i="1"/>
  <c r="N42" i="1"/>
  <c r="V47" i="7" l="1"/>
  <c r="V49" i="7" s="1"/>
  <c r="P8" i="1"/>
  <c r="BL40" i="1"/>
  <c r="O40" i="1" s="1"/>
  <c r="BP14" i="1"/>
  <c r="BO14" i="1"/>
  <c r="BN14" i="1"/>
  <c r="BJ37" i="1"/>
  <c r="BI37" i="1"/>
  <c r="BO7" i="1"/>
  <c r="BP7" i="1"/>
  <c r="BN7" i="1"/>
  <c r="BO6" i="1"/>
  <c r="BP6" i="1"/>
  <c r="BN6" i="1"/>
  <c r="BL41" i="1"/>
  <c r="O41" i="1" s="1"/>
  <c r="N43" i="1"/>
  <c r="P39" i="1"/>
  <c r="N34" i="1"/>
  <c r="P45" i="1"/>
  <c r="O30" i="1"/>
  <c r="BK42" i="1"/>
  <c r="BJ42" i="1"/>
  <c r="BI42" i="1"/>
  <c r="W40" i="7" l="1"/>
  <c r="W41" i="7"/>
  <c r="BQ14" i="1"/>
  <c r="BP8" i="1"/>
  <c r="BO8" i="1"/>
  <c r="BN8" i="1"/>
  <c r="BL37" i="1"/>
  <c r="O37" i="1" s="1"/>
  <c r="BQ7" i="1"/>
  <c r="BL42" i="1"/>
  <c r="O42" i="1" s="1"/>
  <c r="BJ34" i="1"/>
  <c r="BK34" i="1"/>
  <c r="N35" i="1"/>
  <c r="N36" i="1"/>
  <c r="N33" i="1"/>
  <c r="BI34" i="1"/>
  <c r="BO45" i="1"/>
  <c r="BP45" i="1"/>
  <c r="BN45" i="1"/>
  <c r="Q4" i="1"/>
  <c r="BJ43" i="1"/>
  <c r="BI43" i="1"/>
  <c r="BK43" i="1"/>
  <c r="BP39" i="1"/>
  <c r="BO39" i="1"/>
  <c r="BN39" i="1"/>
  <c r="BQ6" i="1"/>
  <c r="W47" i="7" l="1"/>
  <c r="W49" i="7" s="1"/>
  <c r="BL34" i="1"/>
  <c r="O34" i="1" s="1"/>
  <c r="BQ39" i="1"/>
  <c r="BK33" i="1"/>
  <c r="BI33" i="1"/>
  <c r="BJ33" i="1"/>
  <c r="BK36" i="1"/>
  <c r="BJ36" i="1"/>
  <c r="BI36" i="1"/>
  <c r="BQ8" i="1"/>
  <c r="BN17" i="1"/>
  <c r="BJ35" i="1"/>
  <c r="BK35" i="1"/>
  <c r="BI35" i="1"/>
  <c r="BL43" i="1"/>
  <c r="O43" i="1" s="1"/>
  <c r="BS4" i="1"/>
  <c r="BU4" i="1"/>
  <c r="BT4" i="1"/>
  <c r="BQ45" i="1"/>
  <c r="BL36" i="1" l="1"/>
  <c r="O36" i="1" s="1"/>
  <c r="BL35" i="1"/>
  <c r="O35" i="1" s="1"/>
  <c r="BN18" i="1"/>
  <c r="BV4" i="1"/>
  <c r="BJ47" i="1"/>
  <c r="BJ49" i="1" s="1"/>
  <c r="BL33" i="1"/>
  <c r="O33" i="1" s="1"/>
  <c r="BI47" i="1"/>
  <c r="BK47" i="1"/>
  <c r="BK49" i="1" s="1"/>
  <c r="BL47" i="1" l="1"/>
  <c r="BI49" i="1"/>
  <c r="BN22" i="1"/>
  <c r="BN16" i="1"/>
  <c r="BN27" i="1"/>
  <c r="BN24" i="1"/>
  <c r="BN28" i="1"/>
  <c r="BN23" i="1"/>
  <c r="BN21" i="1"/>
  <c r="BN25" i="1"/>
  <c r="BN26" i="1"/>
  <c r="BO17" i="1"/>
  <c r="BO18" i="1" l="1"/>
  <c r="BN30" i="1"/>
  <c r="N47" i="1"/>
  <c r="O47" i="1" s="1"/>
  <c r="BL49" i="1"/>
  <c r="N49" i="1" s="1"/>
  <c r="P41" i="1" l="1"/>
  <c r="P40" i="1"/>
  <c r="O49" i="1"/>
  <c r="BO24" i="1"/>
  <c r="BO25" i="1"/>
  <c r="BO27" i="1"/>
  <c r="BO28" i="1"/>
  <c r="BO22" i="1"/>
  <c r="BO26" i="1"/>
  <c r="BO16" i="1"/>
  <c r="BO23" i="1"/>
  <c r="BO21" i="1"/>
  <c r="BP17" i="1"/>
  <c r="BQ17" i="1" s="1"/>
  <c r="P17" i="1" s="1"/>
  <c r="BP18" i="1" l="1"/>
  <c r="BP28" i="1" s="1"/>
  <c r="BQ28" i="1" s="1"/>
  <c r="BO40" i="1"/>
  <c r="BN40" i="1"/>
  <c r="BP40" i="1"/>
  <c r="BO30" i="1"/>
  <c r="BP41" i="1"/>
  <c r="BO41" i="1"/>
  <c r="BN41" i="1"/>
  <c r="BP27" i="1" l="1"/>
  <c r="BQ27" i="1" s="1"/>
  <c r="BP23" i="1"/>
  <c r="BQ23" i="1" s="1"/>
  <c r="BP22" i="1"/>
  <c r="BQ22" i="1" s="1"/>
  <c r="BP26" i="1"/>
  <c r="BQ26" i="1" s="1"/>
  <c r="BP21" i="1"/>
  <c r="BQ21" i="1" s="1"/>
  <c r="BP16" i="1"/>
  <c r="BQ16" i="1" s="1"/>
  <c r="BQ18" i="1"/>
  <c r="P18" i="1" s="1"/>
  <c r="BP25" i="1"/>
  <c r="BQ25" i="1" s="1"/>
  <c r="BP24" i="1"/>
  <c r="BQ24" i="1" s="1"/>
  <c r="BQ41" i="1"/>
  <c r="BQ40" i="1"/>
  <c r="P16" i="1" l="1"/>
  <c r="Q14" i="1"/>
  <c r="BP30" i="1"/>
  <c r="BQ30" i="1" s="1"/>
  <c r="P30" i="1" s="1"/>
  <c r="P42" i="1"/>
  <c r="BP42" i="1" s="1"/>
  <c r="Q7" i="1"/>
  <c r="BS7" i="1" s="1"/>
  <c r="Q6" i="1"/>
  <c r="BS6" i="1" s="1"/>
  <c r="P37" i="1"/>
  <c r="Q8" i="1" l="1"/>
  <c r="BU14" i="1"/>
  <c r="BT14" i="1"/>
  <c r="BS14" i="1"/>
  <c r="BU7" i="1"/>
  <c r="BT7" i="1"/>
  <c r="BO42" i="1"/>
  <c r="BU6" i="1"/>
  <c r="BT6" i="1"/>
  <c r="BN42" i="1"/>
  <c r="BN37" i="1"/>
  <c r="BO37" i="1"/>
  <c r="BP37" i="1"/>
  <c r="P34" i="1"/>
  <c r="P43" i="1"/>
  <c r="Q39" i="1"/>
  <c r="Q45" i="1"/>
  <c r="BV14" i="1" l="1"/>
  <c r="BT8" i="1"/>
  <c r="BS8" i="1"/>
  <c r="BS17" i="1" s="1"/>
  <c r="BU8" i="1"/>
  <c r="BQ42" i="1"/>
  <c r="BV6" i="1"/>
  <c r="BV7" i="1"/>
  <c r="BS45" i="1"/>
  <c r="R4" i="1"/>
  <c r="BU45" i="1"/>
  <c r="BT45" i="1"/>
  <c r="BS39" i="1"/>
  <c r="BT39" i="1"/>
  <c r="BU39" i="1"/>
  <c r="BQ37" i="1"/>
  <c r="BO34" i="1"/>
  <c r="BP34" i="1"/>
  <c r="P33" i="1"/>
  <c r="P36" i="1"/>
  <c r="BN34" i="1"/>
  <c r="P35" i="1"/>
  <c r="BO43" i="1"/>
  <c r="BP43" i="1"/>
  <c r="BN43" i="1"/>
  <c r="BV8" i="1" l="1"/>
  <c r="BQ34" i="1"/>
  <c r="BQ43" i="1"/>
  <c r="BP35" i="1"/>
  <c r="BO35" i="1"/>
  <c r="BN35" i="1"/>
  <c r="BX4" i="1"/>
  <c r="BZ4" i="1"/>
  <c r="BY4" i="1"/>
  <c r="BV39" i="1"/>
  <c r="BV45" i="1"/>
  <c r="BN33" i="1"/>
  <c r="BO33" i="1"/>
  <c r="BP33" i="1"/>
  <c r="BS18" i="1"/>
  <c r="BP36" i="1"/>
  <c r="BO36" i="1"/>
  <c r="BN36" i="1"/>
  <c r="BQ35" i="1" l="1"/>
  <c r="BQ36" i="1"/>
  <c r="BP47" i="1"/>
  <c r="BP49" i="1" s="1"/>
  <c r="BO47" i="1"/>
  <c r="BO49" i="1" s="1"/>
  <c r="CA4" i="1"/>
  <c r="BQ33" i="1"/>
  <c r="BN47" i="1"/>
  <c r="BS26" i="1"/>
  <c r="BS28" i="1"/>
  <c r="BS27" i="1"/>
  <c r="BS25" i="1"/>
  <c r="BS24" i="1"/>
  <c r="BS22" i="1"/>
  <c r="BS21" i="1"/>
  <c r="BS16" i="1"/>
  <c r="BS23" i="1"/>
  <c r="BT17" i="1"/>
  <c r="BQ47" i="1" l="1"/>
  <c r="BN49" i="1"/>
  <c r="BT18" i="1"/>
  <c r="BS30" i="1"/>
  <c r="P47" i="1" l="1"/>
  <c r="BQ49" i="1"/>
  <c r="P49" i="1" s="1"/>
  <c r="BT16" i="1"/>
  <c r="BT22" i="1"/>
  <c r="BT23" i="1"/>
  <c r="BT21" i="1"/>
  <c r="BT26" i="1"/>
  <c r="BT27" i="1"/>
  <c r="BT24" i="1"/>
  <c r="BT25" i="1"/>
  <c r="BT28" i="1"/>
  <c r="BU17" i="1"/>
  <c r="BV17" i="1" s="1"/>
  <c r="Q17" i="1" s="1"/>
  <c r="Q41" i="1" l="1"/>
  <c r="Q40" i="1"/>
  <c r="BT30" i="1"/>
  <c r="BU18" i="1"/>
  <c r="BU41" i="1" l="1"/>
  <c r="BT41" i="1"/>
  <c r="BS41" i="1"/>
  <c r="BU23" i="1"/>
  <c r="BV23" i="1" s="1"/>
  <c r="BU16" i="1"/>
  <c r="BV16" i="1" s="1"/>
  <c r="BU22" i="1"/>
  <c r="BV22" i="1" s="1"/>
  <c r="BU25" i="1"/>
  <c r="BV25" i="1" s="1"/>
  <c r="BU24" i="1"/>
  <c r="BV24" i="1" s="1"/>
  <c r="BU27" i="1"/>
  <c r="BV27" i="1" s="1"/>
  <c r="BU26" i="1"/>
  <c r="BV26" i="1" s="1"/>
  <c r="BU28" i="1"/>
  <c r="BV28" i="1" s="1"/>
  <c r="BV18" i="1"/>
  <c r="Q18" i="1" s="1"/>
  <c r="BU21" i="1"/>
  <c r="BT40" i="1"/>
  <c r="BS40" i="1"/>
  <c r="BU40" i="1"/>
  <c r="R14" i="1" l="1"/>
  <c r="BV41" i="1"/>
  <c r="BV40" i="1"/>
  <c r="BU30" i="1"/>
  <c r="BV21" i="1"/>
  <c r="Q16" i="1"/>
  <c r="Q42" i="1"/>
  <c r="R6" i="1"/>
  <c r="R7" i="1"/>
  <c r="R8" i="1" l="1"/>
  <c r="BY14" i="1"/>
  <c r="BX14" i="1"/>
  <c r="BZ14" i="1"/>
  <c r="BX6" i="1"/>
  <c r="BY6" i="1"/>
  <c r="BZ6" i="1"/>
  <c r="Q37" i="1"/>
  <c r="BU42" i="1"/>
  <c r="BT42" i="1"/>
  <c r="BS42" i="1"/>
  <c r="BZ7" i="1"/>
  <c r="BY7" i="1"/>
  <c r="BX7" i="1"/>
  <c r="BV30" i="1"/>
  <c r="BX8" i="1" l="1"/>
  <c r="BZ8" i="1"/>
  <c r="BY8" i="1"/>
  <c r="CA14" i="1"/>
  <c r="BV42" i="1"/>
  <c r="CA7" i="1"/>
  <c r="Q30" i="1"/>
  <c r="CA6" i="1"/>
  <c r="BU37" i="1"/>
  <c r="BT37" i="1"/>
  <c r="BS37" i="1"/>
  <c r="R45" i="1" l="1"/>
  <c r="Q43" i="1"/>
  <c r="Q34" i="1"/>
  <c r="R39" i="1"/>
  <c r="CA8" i="1"/>
  <c r="BX17" i="1"/>
  <c r="BV37" i="1"/>
  <c r="BX39" i="1" l="1"/>
  <c r="BZ39" i="1"/>
  <c r="BY39" i="1"/>
  <c r="BX18" i="1"/>
  <c r="BU34" i="1"/>
  <c r="BT34" i="1"/>
  <c r="Q35" i="1"/>
  <c r="Q36" i="1"/>
  <c r="Q33" i="1"/>
  <c r="BS34" i="1"/>
  <c r="BT43" i="1"/>
  <c r="BS43" i="1"/>
  <c r="BU43" i="1"/>
  <c r="BZ45" i="1"/>
  <c r="S4" i="1"/>
  <c r="BY45" i="1"/>
  <c r="BX45" i="1"/>
  <c r="BV43" i="1" l="1"/>
  <c r="BT35" i="1"/>
  <c r="BS35" i="1"/>
  <c r="BU35" i="1"/>
  <c r="CA45" i="1"/>
  <c r="BV34" i="1"/>
  <c r="BX27" i="1"/>
  <c r="BX23" i="1"/>
  <c r="BX26" i="1"/>
  <c r="BX22" i="1"/>
  <c r="BX24" i="1"/>
  <c r="BX25" i="1"/>
  <c r="BX21" i="1"/>
  <c r="BX16" i="1"/>
  <c r="BX28" i="1"/>
  <c r="BY17" i="1"/>
  <c r="BY18" i="1" s="1"/>
  <c r="BS33" i="1"/>
  <c r="BT33" i="1"/>
  <c r="BU33" i="1"/>
  <c r="CD4" i="1"/>
  <c r="CC4" i="1"/>
  <c r="CE4" i="1"/>
  <c r="T4" i="1"/>
  <c r="BS36" i="1"/>
  <c r="BU36" i="1"/>
  <c r="BT36" i="1"/>
  <c r="CA39" i="1"/>
  <c r="BU47" i="1" l="1"/>
  <c r="BU49" i="1" s="1"/>
  <c r="CF4" i="1"/>
  <c r="BX30" i="1"/>
  <c r="BV35" i="1"/>
  <c r="BY27" i="1"/>
  <c r="BY25" i="1"/>
  <c r="BY23" i="1"/>
  <c r="BY22" i="1"/>
  <c r="BY24" i="1"/>
  <c r="BY28" i="1"/>
  <c r="BY16" i="1"/>
  <c r="BY26" i="1"/>
  <c r="BY21" i="1"/>
  <c r="BZ17" i="1"/>
  <c r="CA17" i="1" s="1"/>
  <c r="R17" i="1" s="1"/>
  <c r="BT47" i="1"/>
  <c r="BT49" i="1" s="1"/>
  <c r="BV33" i="1"/>
  <c r="BS47" i="1"/>
  <c r="BV36" i="1"/>
  <c r="BV47" i="1" l="1"/>
  <c r="BS49" i="1"/>
  <c r="BY30" i="1"/>
  <c r="BZ18" i="1"/>
  <c r="Q47" i="1" l="1"/>
  <c r="BV49" i="1"/>
  <c r="Q49" i="1" s="1"/>
  <c r="BZ25" i="1"/>
  <c r="CA25" i="1" s="1"/>
  <c r="BZ23" i="1"/>
  <c r="CA23" i="1" s="1"/>
  <c r="BZ28" i="1"/>
  <c r="CA28" i="1" s="1"/>
  <c r="BZ27" i="1"/>
  <c r="CA27" i="1" s="1"/>
  <c r="BZ24" i="1"/>
  <c r="CA24" i="1" s="1"/>
  <c r="BZ22" i="1"/>
  <c r="CA22" i="1" s="1"/>
  <c r="BZ26" i="1"/>
  <c r="CA26" i="1" s="1"/>
  <c r="BZ16" i="1"/>
  <c r="CA16" i="1" s="1"/>
  <c r="CA18" i="1"/>
  <c r="R18" i="1" s="1"/>
  <c r="BZ21" i="1"/>
  <c r="S14" i="1" l="1"/>
  <c r="T14" i="1" s="1"/>
  <c r="BZ30" i="1"/>
  <c r="CA21" i="1"/>
  <c r="R41" i="1"/>
  <c r="R40" i="1"/>
  <c r="R16" i="1"/>
  <c r="R42" i="1"/>
  <c r="S6" i="1"/>
  <c r="S7" i="1"/>
  <c r="S8" i="1" l="1"/>
  <c r="CE14" i="1"/>
  <c r="CD14" i="1"/>
  <c r="CC14" i="1"/>
  <c r="CD7" i="1"/>
  <c r="CC7" i="1"/>
  <c r="CE7" i="1"/>
  <c r="T7" i="1"/>
  <c r="R37" i="1"/>
  <c r="BZ40" i="1"/>
  <c r="BY40" i="1"/>
  <c r="BX40" i="1"/>
  <c r="CE6" i="1"/>
  <c r="CD6" i="1"/>
  <c r="CC6" i="1"/>
  <c r="T6" i="1"/>
  <c r="CA30" i="1"/>
  <c r="BZ41" i="1"/>
  <c r="BY41" i="1"/>
  <c r="BX41" i="1"/>
  <c r="BZ42" i="1"/>
  <c r="BY42" i="1"/>
  <c r="BX42" i="1"/>
  <c r="CF14" i="1" l="1"/>
  <c r="T8" i="1"/>
  <c r="CE8" i="1"/>
  <c r="CC8" i="1"/>
  <c r="CD8" i="1"/>
  <c r="CA40" i="1"/>
  <c r="CA41" i="1"/>
  <c r="CF6" i="1"/>
  <c r="R30" i="1"/>
  <c r="CF7" i="1"/>
  <c r="CA42" i="1"/>
  <c r="BY37" i="1"/>
  <c r="BZ37" i="1"/>
  <c r="BX37" i="1"/>
  <c r="CA37" i="1" l="1"/>
  <c r="R34" i="1"/>
  <c r="S45" i="1"/>
  <c r="R43" i="1"/>
  <c r="S39" i="1"/>
  <c r="CF8" i="1"/>
  <c r="CC17" i="1"/>
  <c r="CD39" i="1" l="1"/>
  <c r="CE39" i="1"/>
  <c r="CC39" i="1"/>
  <c r="CC18" i="1"/>
  <c r="BY43" i="1"/>
  <c r="BZ43" i="1"/>
  <c r="BX43" i="1"/>
  <c r="CA43" i="1" s="1"/>
  <c r="CE45" i="1"/>
  <c r="CD45" i="1"/>
  <c r="CC45" i="1"/>
  <c r="BZ34" i="1"/>
  <c r="BY34" i="1"/>
  <c r="R35" i="1"/>
  <c r="BX34" i="1"/>
  <c r="R33" i="1"/>
  <c r="R36" i="1"/>
  <c r="CA34" i="1" l="1"/>
  <c r="CF39" i="1"/>
  <c r="T39" i="1" s="1"/>
  <c r="CF45" i="1"/>
  <c r="T45" i="1" s="1"/>
  <c r="BY33" i="1"/>
  <c r="BX33" i="1"/>
  <c r="BZ33" i="1"/>
  <c r="CC22" i="1"/>
  <c r="CC24" i="1"/>
  <c r="CC23" i="1"/>
  <c r="CC26" i="1"/>
  <c r="CC27" i="1"/>
  <c r="CC16" i="1"/>
  <c r="CC25" i="1"/>
  <c r="CC28" i="1"/>
  <c r="CC21" i="1"/>
  <c r="CD17" i="1"/>
  <c r="CD18" i="1" s="1"/>
  <c r="BX35" i="1"/>
  <c r="BZ35" i="1"/>
  <c r="BY35" i="1"/>
  <c r="BY36" i="1"/>
  <c r="BX36" i="1"/>
  <c r="BZ36" i="1"/>
  <c r="CD27" i="1" l="1"/>
  <c r="CD24" i="1"/>
  <c r="CD26" i="1"/>
  <c r="CD23" i="1"/>
  <c r="CD22" i="1"/>
  <c r="CD16" i="1"/>
  <c r="CD25" i="1"/>
  <c r="CD28" i="1"/>
  <c r="CD21" i="1"/>
  <c r="CE17" i="1"/>
  <c r="CE18" i="1" s="1"/>
  <c r="CC30" i="1"/>
  <c r="BZ47" i="1"/>
  <c r="BZ49" i="1" s="1"/>
  <c r="CA33" i="1"/>
  <c r="BX47" i="1"/>
  <c r="CA36" i="1"/>
  <c r="BY47" i="1"/>
  <c r="BY49" i="1" s="1"/>
  <c r="CA35" i="1"/>
  <c r="CF17" i="1" l="1"/>
  <c r="S17" i="1" s="1"/>
  <c r="CE22" i="1"/>
  <c r="CF22" i="1" s="1"/>
  <c r="T22" i="1" s="1"/>
  <c r="CE27" i="1"/>
  <c r="CF27" i="1" s="1"/>
  <c r="T27" i="1" s="1"/>
  <c r="CE24" i="1"/>
  <c r="CF24" i="1" s="1"/>
  <c r="T24" i="1" s="1"/>
  <c r="CE28" i="1"/>
  <c r="CF28" i="1" s="1"/>
  <c r="T28" i="1" s="1"/>
  <c r="CE23" i="1"/>
  <c r="CF23" i="1" s="1"/>
  <c r="T23" i="1" s="1"/>
  <c r="CE26" i="1"/>
  <c r="CF26" i="1" s="1"/>
  <c r="T26" i="1" s="1"/>
  <c r="CE21" i="1"/>
  <c r="CE16" i="1"/>
  <c r="CF16" i="1" s="1"/>
  <c r="T18" i="1"/>
  <c r="T16" i="1" s="1"/>
  <c r="CE25" i="1"/>
  <c r="CF25" i="1" s="1"/>
  <c r="T25" i="1" s="1"/>
  <c r="CF18" i="1"/>
  <c r="S18" i="1" s="1"/>
  <c r="CA47" i="1"/>
  <c r="BX49" i="1"/>
  <c r="CD30" i="1"/>
  <c r="Q22" i="3" l="1"/>
  <c r="R22" i="3" s="1"/>
  <c r="U14" i="1"/>
  <c r="T17" i="1"/>
  <c r="U7" i="1"/>
  <c r="U6" i="1"/>
  <c r="S42" i="1"/>
  <c r="S16" i="1"/>
  <c r="R47" i="1"/>
  <c r="CA49" i="1"/>
  <c r="R49" i="1" s="1"/>
  <c r="CE30" i="1"/>
  <c r="CF21" i="1"/>
  <c r="CF30" i="1" l="1"/>
  <c r="CC42" i="1"/>
  <c r="CD42" i="1"/>
  <c r="CE42" i="1"/>
  <c r="S37" i="1"/>
  <c r="T21" i="1"/>
  <c r="S40" i="1"/>
  <c r="S41" i="1"/>
  <c r="CF42" i="1" l="1"/>
  <c r="T42" i="1" s="1"/>
  <c r="CC41" i="1"/>
  <c r="CD41" i="1"/>
  <c r="CE41" i="1"/>
  <c r="CE37" i="1"/>
  <c r="CC37" i="1"/>
  <c r="CD37" i="1"/>
  <c r="CC40" i="1"/>
  <c r="CE40" i="1"/>
  <c r="CD40" i="1"/>
  <c r="S30" i="1"/>
  <c r="CF40" i="1" l="1"/>
  <c r="T40" i="1" s="1"/>
  <c r="U45" i="1"/>
  <c r="U4" i="1" s="1"/>
  <c r="S34" i="1"/>
  <c r="S43" i="1"/>
  <c r="T30" i="1"/>
  <c r="CF41" i="1"/>
  <c r="T41" i="1" s="1"/>
  <c r="CF37" i="1"/>
  <c r="T37" i="1" s="1"/>
  <c r="U8" i="1" l="1"/>
  <c r="U17" i="1" s="1"/>
  <c r="U18" i="1" s="1"/>
  <c r="CC43" i="1"/>
  <c r="CE43" i="1"/>
  <c r="CD43" i="1"/>
  <c r="CE34" i="1"/>
  <c r="CD34" i="1"/>
  <c r="S36" i="1"/>
  <c r="S33" i="1"/>
  <c r="S35" i="1"/>
  <c r="CC34" i="1"/>
  <c r="Q23" i="3" l="1"/>
  <c r="R23" i="3" s="1"/>
  <c r="U16" i="1"/>
  <c r="U37" i="1"/>
  <c r="V6" i="1"/>
  <c r="U30" i="1"/>
  <c r="U43" i="1" s="1"/>
  <c r="V14" i="1"/>
  <c r="V7" i="1"/>
  <c r="U42" i="1"/>
  <c r="CD35" i="1"/>
  <c r="CE35" i="1"/>
  <c r="CC35" i="1"/>
  <c r="CE36" i="1"/>
  <c r="CD36" i="1"/>
  <c r="CC36" i="1"/>
  <c r="CC33" i="1"/>
  <c r="CD33" i="1"/>
  <c r="CE33" i="1"/>
  <c r="CF34" i="1"/>
  <c r="T34" i="1" s="1"/>
  <c r="CF43" i="1"/>
  <c r="T43" i="1" s="1"/>
  <c r="V45" i="1" l="1"/>
  <c r="V4" i="1" s="1"/>
  <c r="V8" i="1" s="1"/>
  <c r="V17" i="1" s="1"/>
  <c r="V18" i="1" s="1"/>
  <c r="V16" i="1" s="1"/>
  <c r="U34" i="1"/>
  <c r="U33" i="1" s="1"/>
  <c r="U39" i="1"/>
  <c r="CF36" i="1"/>
  <c r="T36" i="1" s="1"/>
  <c r="CD47" i="1"/>
  <c r="CD49" i="1" s="1"/>
  <c r="CF35" i="1"/>
  <c r="T35" i="1" s="1"/>
  <c r="CC47" i="1"/>
  <c r="CF33" i="1"/>
  <c r="T33" i="1" s="1"/>
  <c r="CE47" i="1"/>
  <c r="CE49" i="1" s="1"/>
  <c r="Q24" i="3" l="1"/>
  <c r="R24" i="3" s="1"/>
  <c r="U35" i="1"/>
  <c r="U36" i="1"/>
  <c r="V42" i="1"/>
  <c r="V37" i="1"/>
  <c r="W7" i="1"/>
  <c r="W14" i="1"/>
  <c r="V30" i="1"/>
  <c r="V34" i="1" s="1"/>
  <c r="W6" i="1"/>
  <c r="CF47" i="1"/>
  <c r="CC49" i="1"/>
  <c r="V43" i="1" l="1"/>
  <c r="W45" i="1"/>
  <c r="W4" i="1" s="1"/>
  <c r="W8" i="1" s="1"/>
  <c r="W17" i="1" s="1"/>
  <c r="V39" i="1"/>
  <c r="V33" i="1"/>
  <c r="V35" i="1"/>
  <c r="V36" i="1"/>
  <c r="S47" i="1"/>
  <c r="T47" i="1" s="1"/>
  <c r="CF49" i="1"/>
  <c r="S49" i="1" s="1"/>
  <c r="W18" i="1" l="1"/>
  <c r="U41" i="1"/>
  <c r="U40" i="1"/>
  <c r="T49" i="1"/>
  <c r="Q25" i="3" l="1"/>
  <c r="R25" i="3" s="1"/>
  <c r="W16" i="1"/>
  <c r="W30" i="1"/>
  <c r="W39" i="1" s="1"/>
  <c r="W42" i="1"/>
  <c r="W37" i="1"/>
  <c r="U47" i="1"/>
  <c r="U49" i="1" s="1"/>
  <c r="W43" i="1" l="1"/>
  <c r="W34" i="1"/>
  <c r="W35" i="1" s="1"/>
  <c r="V41" i="1"/>
  <c r="V40" i="1"/>
  <c r="W33" i="1" l="1"/>
  <c r="W36" i="1"/>
  <c r="V47" i="1"/>
  <c r="V49" i="1" s="1"/>
  <c r="W40" i="1" l="1"/>
  <c r="W41" i="1"/>
  <c r="W47" i="1" l="1"/>
  <c r="W49" i="1" s="1"/>
</calcChain>
</file>

<file path=xl/comments1.xml><?xml version="1.0" encoding="utf-8"?>
<comments xmlns="http://schemas.openxmlformats.org/spreadsheetml/2006/main">
  <authors>
    <author>Michael Schöggl</author>
  </authors>
  <commentList>
    <comment ref="B7" authorId="0">
      <text>
        <r>
          <rPr>
            <b/>
            <sz val="9"/>
            <color indexed="81"/>
            <rFont val="Tahoma"/>
            <family val="2"/>
          </rPr>
          <t xml:space="preserve">Michael Schöggl:
</t>
        </r>
        <r>
          <rPr>
            <sz val="9"/>
            <color indexed="81"/>
            <rFont val="Tahoma"/>
            <family val="2"/>
          </rPr>
          <t xml:space="preserve">
CPI = Kosten pro Installation.
Ein aktiver User kostet je nach Absprungrate innerhalb der ersten paar Stunden/Tage ca. 2-3 mal so viel. Die von uns selbst ermittelten Werte bei rund 3 € pro aktivem User (d.h. keine Deinstallation innerhalb von 1 Woche) sind somit durchaus noch verbesserungsfähig. 
Absprünge danach haben wir unter Punkt 1.11 aufgelistet.
</t>
        </r>
      </text>
    </comment>
    <comment ref="B15" authorId="0">
      <text>
        <r>
          <rPr>
            <b/>
            <sz val="9"/>
            <color indexed="81"/>
            <rFont val="Tahoma"/>
            <family val="2"/>
          </rPr>
          <t>Michael Schöggl:</t>
        </r>
        <r>
          <rPr>
            <sz val="9"/>
            <color indexed="81"/>
            <rFont val="Tahoma"/>
            <family val="2"/>
          </rPr>
          <t xml:space="preserve">
- connect ist kein reine App, sondern auch als PC-Version bzw. PlayStation-Version und in VR erhältlich; dadurch können wir mit den deutlich höheren Einnahmen aus der Online-Spiele-Branche rechnen. 
- Da connect "hochwertig" wirkt (kein 2D-Handy-Spiel, sondern ein fotorealistischer Raum um mich herum), ist es sehr wahrscheinlich, dass unsere User auch mehr Geld auszugeben bereit sind, um ihr virtuelles Reich zu verbessern. </t>
        </r>
      </text>
    </comment>
    <comment ref="B22" authorId="0">
      <text>
        <r>
          <rPr>
            <b/>
            <sz val="9"/>
            <color indexed="81"/>
            <rFont val="Tahoma"/>
            <family val="2"/>
          </rPr>
          <t>Michael Schöggl:</t>
        </r>
        <r>
          <rPr>
            <sz val="9"/>
            <color indexed="81"/>
            <rFont val="Tahoma"/>
            <family val="2"/>
          </rPr>
          <t xml:space="preserve">
- Diese Werte erscheinen extrem optimistisch, es gibt auch deutlich pessimistischere Schätzungen. 
- Wir glauben, dass kurzfristig die Schätzungen übertreiben, mittelfristig jedoch stark untertreiben, dass also der VR-Boom sich rasant entwickeln wird, sobald bestimmte Voraussetzungen erfüllt sind (von denen wir noch rund 1-2 Jahre entfernt sind).
- Diese Voraussetzungen sind unserer Meinung nach:
a.) Vierfach höhere Auflösung (bis Ende 2018 Standard).
b.) Kabellos-Versionen und leichte Brille (Mitte bis Ende 2018).
c.) Lösung für Motion-Sickness (d.h. Übelkeit in VR; Lösungen vorhanden, Umsetzung wird von der Software abhängig sein, connect wird sich 2018 darauf konzentrieren).
d.) Blockbuster-Spiele und Filme (kommen gerade die ersten raus, Fallout 4, Skyrim... und 2018 wird ein spannendes Jahr). 
e.) Brillen-Preis unter 300 € (Ende 2018, eher 2019).
f.) Verstärkte mediale Aufmerksamkeit (2018, u.a. durch den Steven Spielberg Film "Ready Player One", aber auch durch Blockbuster-Spiele und erste VR-Filme).</t>
        </r>
      </text>
    </comment>
  </commentList>
</comments>
</file>

<file path=xl/comments2.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Prognose mit den eigenen Schätzwerten aus dem Register-Tab "Eigene Schätzung" (mit 12 Fragen) ersetzt alle spekulativen Werte durch die eigenen Schätzwerte. Die Schätzwerte für die Kosten stammen weiterhin von uns, weil wir diese Zahlen von bisherigen Erfahrungswerten ableiten können, sie können aber in den Spalten D und E auch durch eigene Werte überschrieben werden.
- Da bei der Beantwortung der 12 Fragen aus Gründen der Einfachheit nur jeweils ein Schätzwert abgefragt wurde, fehlt die Veränderung dieses Schätzwertes im Laufe der Quartale, so wie dies bei unseren Prognosen durch Spalte C (bzw. überschreibbar durch Spalte E) geschieht. 
- Darum empfehlen wir, die ursprünglichen Schätzwerte nochmals etwas nachzujustieren, indem in Spalte E auch die grobe Veränderung (Verringerung oder Erhöhung) abgeschätzt wird. 
- Falls Sie keine Idee haben, wie diese Veränderung aussehen könnte, können Sie gerne unseren Wert von Spalte C übernehmen (manuell in Spalte E eintragen). 
- Bitte bedenken Sie aber, dass Sie bei Ihrer Schätzung dazu angehalten wurden, einen Durchschnittswert zu schätzen, der über einen längeren Verlauf hinweg realistisch ist, während bei unserem Schätzwert in Spalte B ganz bewußt davon ausgegangen wurde, dass dies der deutlich positivere oder negativere Startwert ist, der erst durch die Steigerung oder Verringerung im 2. Wert zu einem über die Quartale hinweg betrachteten Durchschnittswert wird.
- Wenn Sie also in Spalte E eine Veränderung ihres Schätzwertes eintragen, bitte nicht "blind" unseren Veränderungswert übernehmen (da dieser von einem ganz anderen Startwert in Spalte B ausgehen wird), sondern einen Wert, der diesen Unterschied beachtet. 
- Unser Tipp (so kommen wir zu unseren Werten): Am besten probieren Sie verschiedene Werte aus und prüfen jedes Mal, ob die daraus resultierenden Werte in den Quartals- oder Jahresprognosen auch realistisch erscheinen. Ohne Plausibilitätscheck ist es schwierig, gute Schätzwerte zu finden. 
- Letzten Endes zählen die Schätzwerte in den Spalten B bis E nicht, sondern nur jene Werte, die sich in den Spalten rechts davon daraus ergeben. Wenn die Entwicklung dort mit Ihren Vorstellungen übereinstimmt, ist das ein gutes Zeichen für eine gute Schätzung.
</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t>
        </r>
        <r>
          <rPr>
            <sz val="9"/>
            <color indexed="81"/>
            <rFont val="Tahoma"/>
            <family val="2"/>
          </rPr>
          <t xml:space="preserve">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2018 (d.h. 1. und 2. Quartal 2018)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3.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realistische Prognose geht von einer Entwicklung nach Plan aus, jedoch basierend auf Vergleichen, recherchierbaren Durchschnittswerten und zumutbaren Herausforderungen. 
- Sie berücksichtigt mögliche Probleme und unvorhersehbare Entwicklungen nicht. 
- Alle verwendeten Werte entsprechen jedoch durchschnittlichen oder eher vorsichtigen Annahmen, die sich durch Vergleiche und statistische Durchschnittswerte stützen lassen. 
- Sie ist nicht optimistisch genug, um auch zukünftige Chancen miteinzubeziehen (z.B. langfristige Geschäftsmodelle), aber auch nicht so pessimistisch, dass sie ganze Geschäftsmodelle komplett als gescheitert annimmt (wie dies z.B. bei der pessimistischen Prognose bzw. beim Worst Case Szenario der Fall ist). 
- Sie stellt unseren besten Versuch dar, eine realistische Prognose zu stellen, die wir einhalten können und die so nahe wie möglich an die Wirklichkeit rankommt - und zwar sehr wohl unter der Annahme, dass sich vieles nicht so gut entwickelt, wie es wünschenswert wäre, jedoch ohne unwahrscheinliche, aber mögliche "Totalausfälle".
- Alle verwendeten Werte lassen sich mit guten Argumenten und statischen Vergleichswerten belegen, auch wenn dies eventuell innerhalb dieses Files nicht gelungen ist. Bezweifelte Werte sollten am besten mündlich besprochen werden, da manche Einschätzungen Wissen voraussetzen, das an dieser Stelle noch nicht ausreichend kommuniziert werden kann/konnte.
- Zusammengefasst: Die realistische Prognose ist grundsätzlich optimistisch und stellt einen Ziel-Plan dar, den wir für einhaltbar und umsetzbar halten. Sie gilt als unser Maßstab, ob wir unsere Ziele wie geplant erreichen können, oder nicht. Sie ignoriert aber allzu negative Entwicklungen ebenso, wie allzu positive, die abseits der Norm sind.
- Dass trotz des Versuchs, realistische Werte zu verwenden, am Ende eine sehr positive Entwicklung mit 4 Mio Usern nach 3 Jahren und 30 Mio € Gewinn resultieren, liegt unserer Meinung nach an den vielen positiven Chancen und Problemlösungen, die connect bietet - sowohl im Marketing, als auch bei den Einnahmen. 
- connect wächst nicht nur mit Mundpropaganda wie viele andere Netzwerke und es finanziert sich auch nicht nur durch Big Data und Werbung (nach vielen Jahren ohne Geschäftsmodell). 
- Wir sind auch der Meinung, dass die unter der Registerkarte "Vergleich Wachstum Mitbewerber" (siehe unten links) angeführten Social Networks die absolute AUSNAHME und nicht der Regelfall sind. Wir gehen nicht davon aus, durch Glück zu einer vergleichbaren Ausnahme zu werden. Sondern wir denken, dass unsere Vorzüge (gerade im Bereich Marketing und Geschäftsmodelle) es uns ermöglichen werden, einen vergleichbaren Erfolg wie LinkedIn zu verzeichnen, auch wenn uns nicht "glückliche, nicht kontrollierbare" Zufälle dazu verhelfen. 
- Ohne unsere mächtigen Vorteile (u.a. 1.3, 1.4, 1.6, 1.7, 1.9 und 2.1 bis 2.8) wäre unsere Prognosen so viel schlechter, dass wir uns in die Reihe der tausenden weniger erfolgreichen Sozialen Netzwerke bzw. Messenger einreihen würden (siehe dazu "Worst Case" unten links, da wurden die meisten Vorzüge einfach weggestrichen).
- Im Leben entscheiden sehr oft glückliche oder unglückliche Zufälle, die man nicht unter Kontrolle hat, über den Erfolg eines Produktes (z.B. der richtige Zeitpunkt oder eine ausreichend hohe Finanzierung, das passende Team, etc.). Aber wir um eine möglichst genaue Prognose abgeben zu können, muss man sich ein Projekt sehr genau ansehen und auch alle Details betrachten (z.B. unsere Besonderheiten fair bewerten), da manche unglückliche Entwicklungen durch Stärken, Strategie, Planung und gute Problemlösungen wieder ausgeglichen werden können. So müssen z.B. nicht all unsere Marketing-Stategien erfolgreich sein oder alle Geschäftsmodelle - es reicht womöglich, wenn eine Marketing-Strategie bzw. ein Geschäftsmodell voll durchschlägt.
- Wir bitten also darum, möglichst ohne das Vorurteile, dass connect nur mit sehr viel "Casino-Glück" so erfolgreich werden kann, wie z.B. LinkedIn, unsere Zahlen zu betrachten. Bitte nehmen Sie sich die Zeit, die Werte kritisch zu prüfen, wir sind sicher, dass auch Sie zum Ergebnis kommen werden, dass connect viel mehr Chancen als Risiken bietet und bei ausreichender Finanzierung garantiert in die sehr lukraktive Gewinnzone kommt. Danke.</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H4" authorId="0">
      <text>
        <r>
          <rPr>
            <b/>
            <sz val="9"/>
            <color indexed="81"/>
            <rFont val="Tahoma"/>
            <family val="2"/>
          </rPr>
          <t>Michael Schöggl:</t>
        </r>
        <r>
          <rPr>
            <sz val="9"/>
            <color indexed="81"/>
            <rFont val="Tahoma"/>
            <family val="2"/>
          </rPr>
          <t xml:space="preserve">
- Die "Boost-Kampagne" mit bezahlter Werbung startet hier und dauert 4 Quartale. Insgesamt werden x Euro (siehe 3.14, B47) ausgegeben, um zu Beginn möglichst rasch neue User zu erhalten. 
- Schnelle, erste User sind entscheidend, damit wir mit diesen über unsere Wachstums-Marketing-Maßnahmen (1.5 bis 1.9) schneller wachsen können. 
- Die Ausgaben für die Boost-Kampagne könnten auch fokussierter (d.h. innerhalb eines Quartals) ausfallen, aber dann wäre auch das Risiko größer, dass die Kosten pro neuem User steigen, weil die Kanäle erschöpft sind oder weil wir Verbesserungsbedarf zu spät bemerken.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ca.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4.xml><?xml version="1.0" encoding="utf-8"?>
<comments xmlns="http://schemas.openxmlformats.org/spreadsheetml/2006/main">
  <authors>
    <author>Michael Schöggl</author>
  </authors>
  <commentList>
    <comment ref="E12" authorId="0">
      <text>
        <r>
          <rPr>
            <b/>
            <sz val="9"/>
            <color indexed="81"/>
            <rFont val="Tahoma"/>
            <family val="2"/>
          </rPr>
          <t>Michael Schöggl:</t>
        </r>
        <r>
          <rPr>
            <sz val="9"/>
            <color indexed="81"/>
            <rFont val="Tahoma"/>
            <family val="2"/>
          </rPr>
          <t xml:space="preserve">
- Bei WhatsApp ist es schwer zu sagen, ob das erste Jahr 2008 zählt (weil WhatsApp noch komplett andere Funktionen hatte und meines Wissens auch erst gegen Jahresende veröffentlicht wurde). 
- Allgemein ist es schwierig, eine Bewertung nach "Erfolg im xten Jahr" durchzuführen, weil nicht jedes Netzwerk dasselbe, volle erste Jahr hatte, um zu wachsen. Facebook hatte schon im ersten Jahr 1 Mio User, "damit startet es sich" deutlich einfacher, als mit 11.000 (z.B. bei LinkedIn). 
- Aber allen erfolgreichen Netzwerken ist etwas gemeinsam: sie wachsen in den ersten Jahren um viele hundert Prozent und mit einem unglaublichen Tempo. Selbst, wenn wir hier nur das langsamste Tempo erreichen sollten - jenes von LinkedIn, das bekanntlich sehr spezialisiert ist - würden wir (wie in unseren Prognosen) rund 3-4 Millionen User im dritten Jahr erwarten dürfen.
- Das Argument, dass es neue Netzwerke schwerer hätten, als ältere (aufgrund der Konkurrenz) scheint durch die Zahlen wiederlegt: WeChat und Instagram überspringen die etwas schwächere Startphase und haben im 3. Jahr bereits 80 Mio User bzw. 355 Mio User.
- Wir sind sehr zuversichtlich, dass uns die Konkurrenz nicht schadet, sondern durch den Multi-Messenger eher beflügelt (weil wir deren Stärken in unser Netzwerk integrieren - und zwar alle). Der Markt ist groß genug, viele User verwenden mehrere Netzwerke parallel und vor allem: connect ist neuartig genug, hat genügend Eigen-Mehrwert, eine komplett andere User-Oberfläche und viele sehr soziale, lustige Gimmick-Funktionen, um gerade für jungen Menschen und Gamer bzw. VR-Fans attraktiv zu sein.</t>
        </r>
      </text>
    </comment>
  </commentList>
</comments>
</file>

<file path=xl/comments5.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vorsichtige Prognose geht in allen Bereichen von vorsichtigen, eher pessimistischen Werte aus, ohne damit zu übertreiben (also ein Szenario zu beschreiben, das unserer Einschätzung nach mit 95%-iger Wahrscheinlichkeit nicht noch schlimmer eintreten könnte). 
- Mit sehr hoher Sicherheit sollten wir die Ergebnisse dieser Prognose problemlos einhalten können. Bei dieser Prognose hätten wir uns keine hohen Ziele gesetzt, sondern würden mit viel Durchschnittlichkeit gekonnt die großen Chancen unseres Projektes ignorieren.
- Dennoch wäre unser Projekt hoch profitabel und aus rein finanzieller Sicht sehr erfolgreich. </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6.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optimistische Prognose geht immer noch von realistischen Zahlen aus und orientiert sich an Vergleichswerten, aber sie berücksichtigt in vollem Umfang all jene Faktor, die unserer Meinung nach connect positiv von anderen Mitbewerbern abgrenzen und für unseren besonderen Erfolg verantwortlich sein werden. 
- Theoretisch könnte sich connect noch besser, als in dieser Prognose entwickeln (auch bei Facebook wäre niemals der jetzige Erfolg auf Basis der ersten Homepage-Version vorhersehbar gewesen), u.a. weil gute Mitarbeiter (die sich ein erfolgreiches Unternehmen schnell leisten kann), Erfolge bewirken können, die auch deutlich über den durchschnitten Entwicklungen liegen. connect ist ein einzigartiges Projekt, das den Traum vieler Menschen wahrmacht und zugleich moralische Werte wie Datenschutz vertritt, darum kann es uns gelingen, viele besonders fähige oder motivierte Unterstützer zu gewinnen.
- Dennoch: Diese optimistische Prognose wurde so erstellt, dass mit einer geschätzten Wahrscheinlichkeit von mehr als 95% kein noch besseres Ergebnis zu erwarten sein wird. 
- Weil es beim ohnehin schon sehr positiven Verlauf kaum mehr eine Rolle spielt, wie hoch unsere Kosten sind, und weil wir Erfolg durch viele User und nicht durch hohen Gewinn definieren, wurden auch alle Ausgaben stark angehoben. Das verdeutlicht unser Ziel, bei entsprechendem Erfolg connect mit eindeutigem Fokus so schnell und positiv wie möglich weiterzuentwickeln, neue Geschäftsbereiche zu erschließen und connect zu einer echten, virtuellen Welt auszubauen. 
- Wer also hohe Gewinne sehen will, der möge bitte bei dieser Prognose einfach die prozentual von den Einnahmen abhängigen Personalkosten senken. Hohe Ausgaben für hohe Gewinne sind dank der Automatisierung aller Prozesse und unserer Strategie, die Schaffung neuer Inhalte primär unseren Partnern zu überlassen, nicht zwingend notwendig.</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7.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pessimistische Prognose geht vom schlechtesten Szenario aus, das für uns noch realistisch vorstellbar wäre.
- Wir gehen von deutlich unterdurchschnittlichen Werten aus, die mindestens 30% (im Schnitt aber eher 50%) unter den statistischen Zahlen liegen, die für diese Branche, dieses Geschäftsmodell oder diese Marketing-Zugänge üblich sind. 
- Die meisten Geschäftsmodelle wurden vollständig nihiliert, weil die Erfüllung ihrer Voraussetzungen nicht ganz sicher ist.
- Von großem Einfluss: Wir gehen von Kosten pro neuem User aus, die doppelt so hoch sind, wie erwartet, zudem rechnen wir mit deutlich mehr Absprüngen (also Usern, die connect für immer verlassen) und unsere Zielgruppen-Obergrenze bzw. Sättigung geht von einer sehr kleinen Zielgruppe aus.
- Ingesamt ist die pessimistische Prognose immer noch im Bereich des realistisch Möglichen und könnte eintreten, aber sie wurde so konzipiert, dass die reale Entwicklung mit einer geschätzten Wahrscheinlichkeit von mehr als 95% besser verlaufen wird.
- Wichtig: Die Prognose stellt zugleich unsere Reaktion auf eine negative Entwicklung dar, z.B., indem kein Geld in eine Boost-Marketing-Kampagne investiert wird (die bei so hohen Kosten ein Fehler wäre), oder indem das Personal temporär reduziert wird, um Kosten zu sparen. Diese Werte-Anpassungen sollen unsere Strategie bei einem derartigen Verlauf aufzeigen und gleichzeitig darstellen, wie flexibel unser Projekt (z.B. hinsichtlich der Kosten) ist, um auch unter schlechten Bedingungen überleben zu können (das zeigt sich noch viel stärker bei der Worst Case Prognose).
- Hinweis: Die </t>
        </r>
        <r>
          <rPr>
            <i/>
            <sz val="9"/>
            <color indexed="81"/>
            <rFont val="Tahoma"/>
            <family val="2"/>
          </rPr>
          <t>wichtigsten</t>
        </r>
        <r>
          <rPr>
            <sz val="9"/>
            <color indexed="81"/>
            <rFont val="Tahoma"/>
            <family val="2"/>
          </rPr>
          <t xml:space="preserve"> geänderten Werte wurden fett und rot dargestellt, damit die Unterschiede einfacher zu finden sind. Bitte beachten Sie, dass alle Kommentare sich immer noch auf die realistische Prognose beziehen, explizite Kommentare für die pessmistische Prognose gibt es (noch) nicht.</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8.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Beim Worst Case Szenario gehen wir von folgenden Annahmen aus:
- Dieselben negativen Entwicklungen, wie bereits bei der pessimistischen Schätzung, nur noch extremer.
- Zusätzlich bringen all unsere Marketing-Strategien fast nichts mehr. Mundpropagdanda sowieso nicht.
- Die Obergrenze für unsere Zielgruppe liegt bei wenigen Hunderttausend statt Millionen Usern. 
- Die Werbekosten sind viel zu hoch, als dass bezahlte Werbung Sinn machen würde (7 € pro neuem User, bei 25% monatlicher Abwanderung).
- Unsere Absprungrate wäre bei sagenhaften 200 bis 250% pro Jahr und unsere Geschäftsmodelle brächten weniger Geld ein, als jede durchschnittliche, einfache 08/15 App.
- Wir reduzieren unseren Personalkosten auf einen Mitarbeiter (Software-Entwickler für die Wartung der App), entwickeln als Freelancer zuhause und reduzieren auch alle übrigen Kosten soweit wie realistisch möglich (erfolgt erst nach Mitte 2018, wenn aufgrund unserer Zahlen klar wird, dass wir einsparen müssen; davor rechnen wir noch mit viel zu hohen Kosten, um das Worst Case Szenario noch worse(r) zu machen). 
- Es dauert bis Ende 2020, bis wir endlich in die Gewinnzone kommen und erst 2023 sind die Investitionen in connect abbezahlt.
- Wir überleben und nach 2023 geht es langsam bergauf, wir machen - positiv betrachtet - ab dann jährlich Millionengewinne. Trotzdem ist das natürlich keine Entwicklung, die wir als Erfolg bezeichnen könnten. Wir hätten unglaublich viel Potential verschenkt. 
- Es sei ausdrücklich betont, dass dieses Szenario hinsichtlich aller Schätzwerte die Grenze zu einer realistischen Entwicklung bereits überschritten hat. Unsere Performance wäre in allen Bereichen deutlich unter jedem Schnitt und es würde uns nicht gelingen, einen einzigen fähigen Unterstützer oder Mitarbeiter einzustellen, der es schafft, den Effekt unserer Marketing-Maßnahmen auf ein durchschnittliches Niveau zu heben (was für unseren Erfolg bereits ausreichen würde). 
- Zudem bestünde bei so einem Worst Case Szenario über viele Jahre hinweg die Möglichkeit, durch ein Investment, gute Mitarbeiter, Ratschläge, bzw. Unterstützer, eine veränderte Marktlage (z.B. VR- oder Datenschutz-Boom) oder einen Pivot das Ruder herumzureißen. 
- Teilweise würde schon ein einzelnes Medienereignis ausreichen, um mit etwas Glück doppelt so viele User zu gewinnen, als wir in unseren Worst Case Szenario in 5 Jahren angesammelt haben: "Threema", ein WhatsApp-Clone aus der Schweiz, der Wert auf Datenschutz legt, hat z.B. trotz 3 Euro App-Kosten(!) und ohne irgendwelche Besonderheiten (mit Ausnahme vom versprochenen Datenschutz) es innerhalb eines einzigen Tages(!) - als Facebook WhatsApp aufgekauft hat und viele User Datenschutzbedenken hatten - von vollständiger Unbekanntheit zu 400.000 neuen Usern gebracht - allein, weil die App in den deutschen Medien als eine der vielen datensicheren Alternativen zu WhatsApp genannt wurde.
- Auf uns übertragen: Einer unserer prominenten User (armer Armin Assinger) bricht sich beim Versuch, sein virtuelles Haustier während seiner VR-Session zu fangen, das Bein, oder ein afghanischer User entdeckt, dass man unser virtuelles Flugzeug (auf dessen Banner man Botschaft an Freunde verschickt) mit einem Trick so abschießen kann, dass es gleichzeitig zwei Türme in unserem New York Ausblick versenkt - und schon wird aus unserem Worst Case Szenario eine akzeptable Entwicklungs-Prognose. 
- Kurz gesagt: Wir müssten schon dauerhaft und wiederholt wirklich sehr viel sehr falsch machen, unvorstellbares Pech haben und resistent gegenüber allen Hilfestellungen, Vorschlägen und möglichen Chancen sein, um tatsächlich mit diesem Worst Case Szenario konfrontiert zu werden.</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9.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Prognose "Möglich" geht von einem Verlauf aus, der vergleichbar mit den erfolgreichsten Social Networks weltweit ist.
- Es gibt rund 2000 Social Networks weltweit und nur ca. 10 davon wären so erfolgreich gewesen, wie connect in dieser Prognose. Das entspricht 0,5%. Aber möglich(!) ist so ein Verlauf dennoch, weil...
- ... die allermeisten Social Networks wenig Neues bieten und nur die Großen kopieren (betrifft geschätzte 90%). Das ist bei connect anders. 
- ... die allermeisten Social Networks sehr spezialisiert sind und sich nur an eine kleinere Zielgruppe richten. 
- ... die allermeisten Social Networks im Gegensatz zu connect keinen neuen Markt erschließen (VR), sondern nur im bestehenden Markt als 100ster Anbieter starten und der Markt bereits den Großen gehört. 
- ... connect mit dem Multi-Messenger das Hauptproblem neuer Social Networks löst: Sie haben zu Beginn keine User und sind daher uninteressant. Mit connect wird man alle Freunde erreichen können, das macht connect von Anfang an zum sozialen Erlebnis. 
- Zusammengefasst: Es gibt in Wirklichkeit gar nicht so viele Social Networks, deren Voraussetzungen für einen mit FB und Co vergleichbaren Erfolg überhaupt gegeben sind. Und wenn diese Voraussetzungen gegeben sind - wie z.B. bei connect (z.B. dass sie etwas Neues bieten und eine extrem breite Zielgruppe ansprechen), dann ist die Chance wahrscheinlich gar nicht so klein, einen vergleichbaren Erfolg zu feiern. 
- Natürlich gehen wir nicht von einem Verlauf wie dem hier dargestellten aus. Aber er wäre möglich und zwischen dem Verlauf von "Realistisch" bzw. "Optimistisch" zu diesem hier ist viel Luft. Wir könnten uns mit etwas Glück dawischen einordnen. Es hängt von unserer langfristigen Strategie ab und davon, wie gut es gelingt, den Wunsch der Kunden zu kennen und zu befriedigen, wie weit wir uns dieser "Möglich"-Prognose annähern. 
- Ich persönlich denke, dass ich sehr klar und konkret weiß, was an den großen Netzwerken verbessert werden müsste, bzw. wie ein Netzwerk aussehen müsste, damit es deutlich attraktiver als diese wäre. Meiner Meinung nach gibt es genügend Verbesserungsbedarf. Wenn die Umsetzung (durch Finanzierung etc.) eines besseres Netzwerks gelingt, halte ich es für realistisch, dass diese Prognose wahr wird.</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G2" authorId="0">
      <text>
        <r>
          <rPr>
            <b/>
            <sz val="9"/>
            <color indexed="81"/>
            <rFont val="Tahoma"/>
            <family val="2"/>
          </rPr>
          <t xml:space="preserve">Michael Schöggl:
- </t>
        </r>
        <r>
          <rPr>
            <sz val="9"/>
            <color indexed="81"/>
            <rFont val="Tahoma"/>
            <family val="2"/>
          </rPr>
          <t>By Q3 2019 connect will be in the alpha development phase, where many functions are still missing, usability is poor and our users will therefore jump out again quickly. 
- All values up to Q3 2019 cannot be compared with later values, therefore many were entered manually instead of calculated by formula.</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sharedStrings.xml><?xml version="1.0" encoding="utf-8"?>
<sst xmlns="http://schemas.openxmlformats.org/spreadsheetml/2006/main" count="1638" uniqueCount="279">
  <si>
    <t>April</t>
  </si>
  <si>
    <t>August</t>
  </si>
  <si>
    <t>September</t>
  </si>
  <si>
    <t>November</t>
  </si>
  <si>
    <t>Q1</t>
  </si>
  <si>
    <t>Q2</t>
  </si>
  <si>
    <t>Q3</t>
  </si>
  <si>
    <t>Q4</t>
  </si>
  <si>
    <t>Q2 2020</t>
  </si>
  <si>
    <t>Q1 2020</t>
  </si>
  <si>
    <t>Q4 2019</t>
  </si>
  <si>
    <t>Q1 2019</t>
  </si>
  <si>
    <t>Q2 2019</t>
  </si>
  <si>
    <t>Q3 2019</t>
  </si>
  <si>
    <t>REAL</t>
  </si>
  <si>
    <t>Q3 2020</t>
  </si>
  <si>
    <t>Q4 2020</t>
  </si>
  <si>
    <t>https://qz.com/1053838/no-one-knows-how-much-money-wechat-is-making-and-bullish-tencent-hkg-0700-investors-dont-seem-to-care/</t>
  </si>
  <si>
    <t>http://www.mobyaffiliates.com/blog/average-cost-per-install-apps/</t>
  </si>
  <si>
    <t>http://www.gogochart.com/2016/08/08/7-things-you-need-to-know-about-app-cost-per-install-cpi-values/</t>
  </si>
  <si>
    <t>https://www.statista.com/statistics/247411/cost-per-installation-android-ios-worldwide/</t>
  </si>
  <si>
    <t>http://www.giga.de/apps/google-play-store/news/mobile-games-spieler-geben-im-durchschnitt-76-euro-fuer-in-app-kaeufe-aus/</t>
  </si>
  <si>
    <t>https://www.theguardian.com/news/datablog/2014/feb/04/facebook-in-numbers-statistics</t>
  </si>
  <si>
    <t>Facebook</t>
  </si>
  <si>
    <t>WhatsApp</t>
  </si>
  <si>
    <t>Instagram</t>
  </si>
  <si>
    <t>Twitter</t>
  </si>
  <si>
    <t>LinkedIn</t>
  </si>
  <si>
    <t>WeChat</t>
  </si>
  <si>
    <t>https://www.statista.com/statistics/264810/number-of-monthly-active-facebook-users-worldwide/</t>
  </si>
  <si>
    <t>https://www.thebalance.com/twitter-statistics-2008-2009-2010-2011-3515899</t>
  </si>
  <si>
    <t>https://www.quora.com/How-many-users-did-Twitter-have-after-its-first-year</t>
  </si>
  <si>
    <t>http://dstevenwhite.com/2011/12/29/social-media-growth-2006-2011/</t>
  </si>
  <si>
    <t>https://www.statista.com/statistics/260819/number-of-monthly-active-whatsapp-users/</t>
  </si>
  <si>
    <t>http://www.businessofapps.com/data/whatsapp-statistics/</t>
  </si>
  <si>
    <t>https://www.statista.com/statistics/255778/number-of-active-wechat-messenger-accounts/</t>
  </si>
  <si>
    <t>http://topdogsocialmedia.com/linkedin-history/</t>
  </si>
  <si>
    <t>https://en.wikipedia.org/wiki/Timeline_of_LinkedIn</t>
  </si>
  <si>
    <t>http://www.adweek.com/digital/instagram-gained-100-million-users-6-months-now-has-600-million-accounts-175126/</t>
  </si>
  <si>
    <t>https://www.statista.com/statistics/253577/number-of-monthly-active-instagram-users/</t>
  </si>
  <si>
    <t>https://en.wikipedia.org/wiki/List_of_social_networking_websites</t>
  </si>
  <si>
    <t>connect</t>
  </si>
  <si>
    <t>https://www.statista.com/statistics/591181/global-augmented-virtual-reality-market-size/</t>
  </si>
  <si>
    <t>https://www.investors.com/news/technology/click/advertising-marketing-to-invade-virtual-augmented-reality-in-2017/?platform=hootsuite</t>
  </si>
  <si>
    <t>https://www.statista.com/statistics/426469/active-virtual-reality-users-worldwide/</t>
  </si>
  <si>
    <t>https://www.statista.com/statistics/426486/virtual-reality-software-revenue-worldwide/</t>
  </si>
  <si>
    <t>https://www.abiresearch.com/press/virtual-reality-expected-reach-over-quarter-billio/</t>
  </si>
  <si>
    <t>https://www.statista.com/statistics/426479/paying-virtual-reality-users-worldwide/</t>
  </si>
  <si>
    <t>https://www.statista.com/statistics/610126/worldwide-forecast-augmented-and-mixed-reality-software-users-by-segment/</t>
  </si>
  <si>
    <t>https://www.statista.com/statistics/539713/worldwide-virtual-and-augmented-reality-hardware-shipments/</t>
  </si>
  <si>
    <t>kein Vergleich</t>
  </si>
  <si>
    <t>+ %</t>
  </si>
  <si>
    <t>.</t>
  </si>
  <si>
    <r>
      <t xml:space="preserve">Q1 </t>
    </r>
    <r>
      <rPr>
        <sz val="7"/>
        <color theme="0"/>
        <rFont val="Arial"/>
        <family val="2"/>
      </rPr>
      <t xml:space="preserve">- </t>
    </r>
    <r>
      <rPr>
        <sz val="7"/>
        <color rgb="FFFF0000"/>
        <rFont val="Arial"/>
        <family val="2"/>
      </rPr>
      <t>ALPHA</t>
    </r>
  </si>
  <si>
    <r>
      <t xml:space="preserve">Q2 </t>
    </r>
    <r>
      <rPr>
        <sz val="7"/>
        <color theme="0"/>
        <rFont val="Arial"/>
        <family val="2"/>
      </rPr>
      <t xml:space="preserve">- </t>
    </r>
    <r>
      <rPr>
        <sz val="7"/>
        <color rgb="FFFF0000"/>
        <rFont val="Arial"/>
        <family val="2"/>
      </rPr>
      <t>ALPHA</t>
    </r>
  </si>
  <si>
    <t>https://www.invespcro.com/blog/in-app-purchase-revenue/</t>
  </si>
  <si>
    <t>https://www.appsflyer.com/pr/new-report-global-app-spending-habits-finds-asian-consumers-spend-40-apps-rest-world/</t>
  </si>
  <si>
    <t>https://sweetpricing.com/blog/2016/10/mobile-app-monetization-stats/</t>
  </si>
  <si>
    <t>https://de.statista.com/outlook/212/100/online-games/weltweit#market-users</t>
  </si>
  <si>
    <t>Worst Case</t>
  </si>
  <si>
    <t xml:space="preserve">1,00 = </t>
  </si>
  <si>
    <t>1 User</t>
  </si>
  <si>
    <t>in Euro</t>
  </si>
  <si>
    <t>1,00 =</t>
  </si>
  <si>
    <t>1 %</t>
  </si>
  <si>
    <t xml:space="preserve">1 = </t>
  </si>
  <si>
    <t>1 =</t>
  </si>
  <si>
    <t>Userzahl, Einnahmen, Ausgaben und Ergebnis für die Jahre 2020, 2021, 2022 und 2023</t>
  </si>
  <si>
    <t>Wachstums-Kurve von connect "Realistisch" verglichen mit erfolgreichen Social Networks</t>
  </si>
  <si>
    <r>
      <t xml:space="preserve">Please use the questions below to estimate the most important values of our 3-year forecast for yourself </t>
    </r>
    <r>
      <rPr>
        <b/>
        <sz val="12"/>
        <color rgb="FFFF0000"/>
        <rFont val="Arial"/>
        <family val="2"/>
      </rPr>
      <t>(preferably before you look at the rest!)</t>
    </r>
  </si>
  <si>
    <r>
      <t>ATTENTION</t>
    </r>
    <r>
      <rPr>
        <b/>
        <sz val="8"/>
        <color rgb="FFFF0000"/>
        <rFont val="Arial"/>
        <family val="2"/>
      </rPr>
      <t>:</t>
    </r>
    <r>
      <rPr>
        <b/>
        <sz val="8"/>
        <rFont val="Arial"/>
        <family val="2"/>
      </rPr>
      <t xml:space="preserve"> In the bar at the bottom left are other tabs ("Personal Estimation", "Links to statistics", etc.). The best way to view this estimate is firstly "result of personal estimate", and then continue to the other tabs.</t>
    </r>
  </si>
  <si>
    <t>All comments in the other tabs (see boxes with red triangle in the upper right corner) refer to our "realistic" forecast. Comments on the other forecasts can be found in the relevant fields.</t>
  </si>
  <si>
    <t>We also ask you to read the arguments behind the questions, because in order to make a good estimate you need as much knowledge as possible about the starting position and some imagination. Both require information about our project.</t>
  </si>
  <si>
    <t>Of course, the values will change over time, but please calculate using an average value. These questions are only to enable a quick, rough assessment for the forecasts and all the details are adjustable!</t>
  </si>
  <si>
    <r>
      <t xml:space="preserve">1.) How many new users does each existing user bring to connect per year (through word of mouth)? </t>
    </r>
    <r>
      <rPr>
        <sz val="8"/>
        <color theme="0" tint="-0.499984740745262"/>
        <rFont val="Arial"/>
        <family val="2"/>
      </rPr>
      <t>When they show connect to others, or someone looks over their shoulder? The partner, the best friend, the parents ...?</t>
    </r>
  </si>
  <si>
    <t>Argument 1: Users receive exclusive content, e.g. virtual pets that they will want to proudly show their friends. These cute, realistic pets can learn tricks and you can influence their behavior.</t>
  </si>
  <si>
    <t>Argument 2: connect is currently one of the most realistic, most interactive VR experiences, it is accessible to everyone free of charge and will be viewed as exciting for the friends of our users. connect can be accessed on almost any device.</t>
  </si>
  <si>
    <t>Argument 3: Successful social networks are growing at a rate of several hundred percent per year, especially in the early years (our forecast refers to the first 3 years). Just by word of mouth, the user numbers can explode.</t>
  </si>
  <si>
    <t>Own</t>
  </si>
  <si>
    <t>Estimation:</t>
  </si>
  <si>
    <r>
      <t xml:space="preserve">2.)  What percentage of the existing users leave connect per year? </t>
    </r>
    <r>
      <rPr>
        <sz val="8"/>
        <color theme="0" tint="-0.499984740745262"/>
        <rFont val="Arial"/>
        <family val="2"/>
      </rPr>
      <t>The value can also be higher than 100% if the average user, according to the forecast, stays less than one year!</t>
    </r>
  </si>
  <si>
    <t>Argument 1: Please estimate from the middle of 2018 when connect is complete, usability issues and annoying bugs have been fixed, first feedback processed and cool features (such as multimedia, customization, etc.) completed.</t>
  </si>
  <si>
    <t>Argument 2: "Investments" bind users in the long term. Examples: Personalization (everything set up with love), chat history in multi-messenger, media favorites, exclusive, rare, valuable content, elaborately bred, virtual pets …</t>
  </si>
  <si>
    <t>Argument 3: Thanks to the Multimessenger, all contacts from all other networks are integrated into connect. As long as connect is "full of users", my investments in this VR world have a high value. No short trend, but a social network for everyone.</t>
  </si>
  <si>
    <r>
      <t xml:space="preserve">3.) How much paid advertising will each new user cost us </t>
    </r>
    <r>
      <rPr>
        <sz val="8"/>
        <color theme="0" tint="-0.499984740745262"/>
        <rFont val="Arial"/>
        <family val="2"/>
      </rPr>
      <t>(for example, funny, cool (VR) videos)</t>
    </r>
    <r>
      <rPr>
        <b/>
        <sz val="8"/>
        <rFont val="Arial"/>
        <family val="2"/>
      </rPr>
      <t>?</t>
    </r>
    <r>
      <rPr>
        <sz val="8"/>
        <color theme="0" tint="-0.499984740745262"/>
        <rFont val="Arial"/>
        <family val="2"/>
      </rPr>
      <t xml:space="preserve"> (Example: We spend x Euro on advertising and get y new users for it.) What does a user cost on average?)</t>
    </r>
  </si>
  <si>
    <t>Argument 1: The benefits of connect can be portrayed very easily in a short video using impressive graphics, presented in the virtual home ( pets, media, etc.). Turning off new videos in connect is easy.</t>
  </si>
  <si>
    <t>Argument 2: In the first half of 2018, we will test and evaluate various marketing channels and then optimize and constantly refine the one with the best success rate. We have professionals as consultants.</t>
  </si>
  <si>
    <t>Argument 3: It is clear to us that this value is perhaps the most important factor of all for rapid success, and we will therefore focus on its optimization.</t>
  </si>
  <si>
    <r>
      <t>4.) How many new users per month will we gain through "organic search"?</t>
    </r>
    <r>
      <rPr>
        <sz val="8"/>
        <color theme="0" tint="-0.499984740745262"/>
        <rFont val="Arial"/>
        <family val="2"/>
      </rPr>
      <t xml:space="preserve"> E.g. users searching for specific topics such as "VR", "secure Messenger", "VR Social Network" or "virtual pets".</t>
    </r>
  </si>
  <si>
    <t>Argument 1: Please estimate from the middle of 2018, if connect is also available on the PlayStation as one of the few (free) VR content suppliers and as the only messenger (which even enable SMS, email and Facebook chat from the PS4).</t>
  </si>
  <si>
    <t>Argument 2: Total value from all stores and organic searches: Google search or YouTube (with homepage download), Play Store, App Store (iOS), Steam (game platform) and PlayStation (almost no free VR competition).</t>
  </si>
  <si>
    <t>Argument 3: The more popular connect is, the higher it appears in the search ranking order. With store optimizations, investments and new users we could quickly get into the top 10 for many keywords.</t>
  </si>
  <si>
    <r>
      <t xml:space="preserve">5.) How many € per year can we earn from an active user in advertising through product placement? </t>
    </r>
    <r>
      <rPr>
        <sz val="8"/>
        <color theme="0" tint="-0.499984740745262"/>
        <rFont val="Arial"/>
        <family val="2"/>
      </rPr>
      <t>(Subliminal advertising by brand products as 3D models.)</t>
    </r>
  </si>
  <si>
    <t>Argument 1: 50 Cent revenue when a user has viewed the 3D model of a branded product for at least 5 hours. Or less for less viewing time. Most models are directly in the field of view of the "active zones".</t>
  </si>
  <si>
    <t>Argument 3: The user can change the 3D model in a slot (e.g., the virtual camera). Nikon, then Canon. Thus, 50 cents can be earned several times per slot and year. At Social Places we change ourselves regularly.</t>
  </si>
  <si>
    <t>Argument 2: In the beginning there are about 15 different "slots" (= places where a branded product is located in VR). But base an estimate on 30+ slots, because connect is rapidly developing many more rooms and social areas (e.g. a bar).</t>
  </si>
  <si>
    <t>6.) How many € a year will we earn on average from an active user for in-app purchases?</t>
  </si>
  <si>
    <t>Argument 1: These exclusive digital contents increase the fictional social status of the users. The user can actively influence his "real" status power, rather than indirect a game character. Real friends (not other gamers) are impressed with it.</t>
  </si>
  <si>
    <t>Argument 2: The user buys e.g. an egg, usually a chick hatches, occasionally a duckling and very rarely a crocodile baby. Different common variants of all animals are possible. Some users will buy 100 eggs until they get a black (!)crocodile.</t>
  </si>
  <si>
    <t>Argument 3: Complete VR settings (such as the Oval Office, Star Wars or a Pirate Ship) are cheap (1-10 €), photorealistic and interactive. Likewise, games, gifts for friends / lovers (rose, jewelry, etc.) or functions (change weather).</t>
  </si>
  <si>
    <r>
      <t xml:space="preserve">7.) How many € per year and user do we earn through commission from VR shops </t>
    </r>
    <r>
      <rPr>
        <sz val="8"/>
        <color theme="0" tint="-0.499984740745262"/>
        <rFont val="Arial"/>
        <family val="2"/>
      </rPr>
      <t>(in the long run hundreds of providers)</t>
    </r>
    <r>
      <rPr>
        <b/>
        <sz val="8"/>
        <rFont val="Arial"/>
        <family val="2"/>
      </rPr>
      <t xml:space="preserve">, VR shopping </t>
    </r>
    <r>
      <rPr>
        <sz val="8"/>
        <color theme="0" tint="-0.499984740745262"/>
        <rFont val="Arial"/>
        <family val="2"/>
      </rPr>
      <t>(buy objects directly from the virtual home)</t>
    </r>
    <r>
      <rPr>
        <b/>
        <sz val="8"/>
        <rFont val="Arial"/>
        <family val="2"/>
      </rPr>
      <t xml:space="preserve"> and third-party content </t>
    </r>
    <r>
      <rPr>
        <sz val="8"/>
        <color theme="0" tint="-0.499984740745262"/>
        <rFont val="Arial"/>
        <family val="2"/>
      </rPr>
      <t>(games, VR scenes, etc.)</t>
    </r>
    <r>
      <rPr>
        <b/>
        <sz val="8"/>
        <rFont val="Arial"/>
        <family val="2"/>
      </rPr>
      <t>?</t>
    </r>
  </si>
  <si>
    <t>Argument 1: Almost every large company will soon want to have a VR shop. We can connect most of them. Without our platform these shops can hardly reach this market, customers would have to download a new app for each individual shop.</t>
  </si>
  <si>
    <t>Argument 2: Advantages over online shopping: collecting VR products (e.g., shoes) in the virtual home, admiring one's avatar, showing others in VR, 3Dimensional, photorealistic, interactive, customizable (e.g., different color).</t>
  </si>
  <si>
    <t>Argument 3: If we have enough users, a whole third-party market can develop selling virtual pets, alternative VR scenes, games, etc. (see Facebook). We get 30% commission. Like an app store just for VR.</t>
  </si>
  <si>
    <t>8.) How many new users per year and per existing user can we count on gaining through our multimessenger attachment (“sent by connect”)  sent into other networks?</t>
  </si>
  <si>
    <t xml:space="preserve">Argument 1: If a user sends messages via SMS, mail or to Facebook or other networks from connect, the following message is attached: "sent by connect". At some point the receiver is curious and our user is advertising. </t>
  </si>
  <si>
    <t xml:space="preserve">Argument 2: Psychology: People defend their own decisions and using connect is a decision. Those who explain the "sent by connect", also explain why connect is so great that they use it, justifying their own decision. </t>
  </si>
  <si>
    <t>Argument 3: Active social network or messenger users regularly send "sent by connect" to their hundreds of friends. If someone gets this attachment from several friends by mail, SMS, FB, etc., then he will ask what it is and why he should have it.</t>
  </si>
  <si>
    <r>
      <t xml:space="preserve">9.) How many new users per year and per existing user can we count on through self-contained or rewarded, subsidized social media sharing? </t>
    </r>
    <r>
      <rPr>
        <sz val="8"/>
        <color theme="0" tint="-0.499984740745262"/>
        <rFont val="Arial"/>
        <family val="2"/>
      </rPr>
      <t>(These share and show our special features)</t>
    </r>
  </si>
  <si>
    <t>Argument 1: Users can share (360 degree) photos and videos of their VR home or virtual pet in all other networks (FB, Snapchat, Instagram, etc.). We promote this with "successes", competitions and rewards (VR content).</t>
  </si>
  <si>
    <t>Argument 2: Via the multi-messenger connect-exclusive, super cute stickers, sounds, short videos, etc. can also be sent to other networks. "Where did you get that cute sticker ?!" - "From connect, do you not know about that yet ?!"</t>
  </si>
  <si>
    <t>Argument 3: Sensational Photo and Video Shares: My Facebook photos appear on your virtual walls, my videos are on your TV; the view from your VR window is my holiday photo, my face adorns your VR toilet.</t>
  </si>
  <si>
    <r>
      <t xml:space="preserve">10.) How many new users per year and per existing user we can count on for initialized word of mouth </t>
    </r>
    <r>
      <rPr>
        <sz val="8"/>
        <color theme="0" tint="-0.499984740745262"/>
        <rFont val="Arial"/>
        <family val="2"/>
      </rPr>
      <t>(description: see arguments)</t>
    </r>
    <r>
      <rPr>
        <b/>
        <sz val="8"/>
        <rFont val="Arial"/>
        <family val="2"/>
      </rPr>
      <t>?</t>
    </r>
  </si>
  <si>
    <t>Argument 1: Realistic sounds serve as ringtones and attract attention. For example, a hiccough, a coin falling to the ground, a can opening, a wolf whistle, a puppy whimpering ... "Was that you?" - "Yes, my new app."</t>
  </si>
  <si>
    <t>Argument 2: Our user rotates their phone to landscape mode as if it were a steering wheel. Anywhere and everywhere: waiting rooms, trams, under the school desk. They try to crack the code of the virtual vault to get unique rewards.</t>
  </si>
  <si>
    <t>Argument 3: In the disco, the mobile phone on the bar begins to flash and glow like crazy. It has detected, by volume measurement, that at 80 dB light is better suited for announcing new messages than a ringtone.</t>
  </si>
  <si>
    <r>
      <t xml:space="preserve">11.)  What percentage of growth per year can we expect from the reports of our media partners </t>
    </r>
    <r>
      <rPr>
        <sz val="8"/>
        <color theme="0" tint="-0.499984740745262"/>
        <rFont val="Arial"/>
        <family val="2"/>
      </rPr>
      <t>(video, audio, print, internet, VR)</t>
    </r>
    <r>
      <rPr>
        <b/>
        <sz val="8"/>
        <rFont val="Arial"/>
        <family val="2"/>
      </rPr>
      <t>? They must report regularly to access our free media interface!</t>
    </r>
  </si>
  <si>
    <t>Argument 1: Media sources doing video, audio, print, Internet or VR reports about us get to use our interface for x months for free. Your media appears automatically in our VR world. Larger target group, modern image.</t>
  </si>
  <si>
    <t>Argument 2: "Messengers, Social Networks, VR" - they interest almost everyone. We have many media, also VR-capable. We also have a press kit including many finished texts. Low effort. Paid Content + Subscription via connect is possible!</t>
  </si>
  <si>
    <t>Argument 3: We have 200,000 (!) mail addresses of worldwide media. In return the media can receive big data about their consumers, this brings higher advertising revenues: correlations between personality and consumer behavior consumption.</t>
  </si>
  <si>
    <r>
      <t xml:space="preserve">12.) What is the maximum target audience </t>
    </r>
    <r>
      <rPr>
        <sz val="8"/>
        <color theme="0" tint="-0.499984740745262"/>
        <rFont val="Arial"/>
        <family val="2"/>
      </rPr>
      <t xml:space="preserve">(in millions) </t>
    </r>
    <r>
      <rPr>
        <b/>
        <sz val="8"/>
        <rFont val="Arial"/>
        <family val="2"/>
      </rPr>
      <t xml:space="preserve">that connect can aim for in the long term? </t>
    </r>
    <r>
      <rPr>
        <sz val="8"/>
        <color theme="0" tint="-0.499984740745262"/>
        <rFont val="Arial"/>
        <family val="2"/>
      </rPr>
      <t>The closer we get, the slower connect grows: 90% achieved = only 10% of the previous growth.</t>
    </r>
  </si>
  <si>
    <t>Argument 1: The absolute upper limit of our user numbers. Achieving half this value, all previous growth parameters would only be half as effective! Therefore please carefully estimate the actual maximum.</t>
  </si>
  <si>
    <t>Argument 2: From mid-2018, connect will support virtually every device, including all popular VR solutions. Plus: Own version with simple app design without virtual space or 3D (for older hardware or as a functional "business application").</t>
  </si>
  <si>
    <t>Argument 3: Facebook was once also just a homepage. connect will do everything possible to appeal to as many people as possible. We will make connect so modular and customizable that really everyone gets their money's worth.</t>
  </si>
  <si>
    <t>1 Mio</t>
  </si>
  <si>
    <t>All questions answered? Then please take a look at the forecast based on your own estimates in the tab "Result own estimate" (bar below).</t>
  </si>
  <si>
    <r>
      <rPr>
        <b/>
        <sz val="12"/>
        <rFont val="Calibri"/>
        <family val="2"/>
      </rPr>
      <t xml:space="preserve">Example sources for estimates </t>
    </r>
    <r>
      <rPr>
        <sz val="12"/>
        <color theme="0" tint="-0.499984740745262"/>
        <rFont val="Calibri"/>
        <family val="2"/>
      </rPr>
      <t>(please google yourself, even if many of these figures have been confirmed by your own experience or experts).</t>
    </r>
  </si>
  <si>
    <t>Note: Of course, the actual value depends on the individual product. connect has so much to offer that we should do better and not worse than average.</t>
  </si>
  <si>
    <t>Cost per new user (CPI)</t>
  </si>
  <si>
    <t>01: Average cost per installation, according to Statista: 0,44 Dollar</t>
  </si>
  <si>
    <t>02: CPI for Android USA: $ 1.91, Europe: $ 0.99</t>
  </si>
  <si>
    <t>03: Average cost per active user: &lt; 3 €</t>
  </si>
  <si>
    <t>Revenue per user through in-app purchases (IAP, ARPU)</t>
  </si>
  <si>
    <t>04: EU: € 0.26, Asia: $ 0.7, US: $ 0.62 per month / user for in-app purchases</t>
  </si>
  <si>
    <t>05: $ 0.32 a month for IAP, but $ 2.68 a month for shopping apps</t>
  </si>
  <si>
    <t>06: Potential: up to an average of € 76 per user / year for in-app purchases</t>
  </si>
  <si>
    <t>07: WeChat: 8.4 billion in Q4 2017 with 963 million users (€ 35 per user / year)</t>
  </si>
  <si>
    <t>08: ARPU (revenue per user) at Online Games 2017 at an average of € 20.69</t>
  </si>
  <si>
    <t>09: 28 million paying VR Users 2018</t>
  </si>
  <si>
    <t>10: VR market explodes from 2017 to 2020 ($ 11.4 billion to $ 143.3 billion)</t>
  </si>
  <si>
    <t>11: 2017 about 2.5 &amp; 2018 about 4.6 billion dollars in sales with VR Software</t>
  </si>
  <si>
    <t>12: many more links to in-app purchases</t>
  </si>
  <si>
    <t>Developments in the VR market</t>
  </si>
  <si>
    <t>13: Worldwide 90 million VR users 2017 and 171 million 2018</t>
  </si>
  <si>
    <t>15: 2022 expected 256 million users and $ 60 billion in revenue</t>
  </si>
  <si>
    <t>14: 22, 36, 52, 75, 99 million VR headsets 2017, 18, 19, 20 and 2021</t>
  </si>
  <si>
    <t>16: Goldman Sachs: 70 million video games VR users 2020, 216 million 2025</t>
  </si>
  <si>
    <t>Business interest in VR (product placement, VR shops)</t>
  </si>
  <si>
    <t>17: 30% of Forbes Global 2000 want to use VR / AR in marketing</t>
  </si>
  <si>
    <t>Year</t>
  </si>
  <si>
    <t>Your Estimation</t>
  </si>
  <si>
    <t>Realistic</t>
  </si>
  <si>
    <t>Optimistic</t>
  </si>
  <si>
    <t>Pessimistic</t>
  </si>
  <si>
    <t>Possible</t>
  </si>
  <si>
    <t>Cautious</t>
  </si>
  <si>
    <t>Yellow = year of foundation. By the fifth year or so, growth rates of 100% + per year and a total of approx. 150 million users will be reached.</t>
  </si>
  <si>
    <t>At the end of the third year, the most successful networks had between 4 and 80 million users, or WeChat 355 million (red = estimated value).</t>
  </si>
  <si>
    <t>From approximately 600 million users, networks grow at a slower rate than 50% per year, but until then we have enough room to grow.</t>
  </si>
  <si>
    <t xml:space="preserve">The growth forecast for connect is modest compared to the development of other networks, connect would be, despite high profitability, </t>
  </si>
  <si>
    <t xml:space="preserve">still a dwarf (especially if the curves of the competitors for the years 2018 to 2023 are considered further). There is still a lot of room for improvement, </t>
  </si>
  <si>
    <t>because connect offers something completely new in many areas and is not a functional / optical copy.</t>
  </si>
  <si>
    <t>This chart compares the growth curves of the most successful social networks worldwide and maps the forecast for connect.</t>
  </si>
  <si>
    <t>Very specialized or functionally limited networks - e.g. LinkedIn or Twitter - of course grow much more slowly.</t>
  </si>
  <si>
    <t>connect is extremely versatile (multimedia / -Messenger, VR, customization, all devices, etc.) and so appeals to a large audience.</t>
  </si>
  <si>
    <r>
      <rPr>
        <u/>
        <sz val="10"/>
        <rFont val="Arial"/>
        <family val="2"/>
      </rPr>
      <t>Overview social networks worldwide</t>
    </r>
    <r>
      <rPr>
        <sz val="10"/>
        <rFont val="Arial"/>
        <family val="2"/>
      </rPr>
      <t xml:space="preserve">: almost all are </t>
    </r>
    <r>
      <rPr>
        <i/>
        <sz val="10"/>
        <rFont val="Arial"/>
        <family val="2"/>
      </rPr>
      <t>highly specialized</t>
    </r>
    <r>
      <rPr>
        <sz val="10"/>
        <rFont val="Arial"/>
        <family val="2"/>
      </rPr>
      <t>, but still have 500k to x million users</t>
    </r>
  </si>
  <si>
    <t>connect is extremely versatile, not specalised and stands out from anything else (VR, Multimessenger, all devices, etc.)</t>
  </si>
  <si>
    <t>connect will easily compete with mediocre networks with millions of users.</t>
  </si>
  <si>
    <t xml:space="preserve">This is already enough to generate high profits, because in contrast to WhatsApp and Co, connect also has several working </t>
  </si>
  <si>
    <t>business models; in addition there is the goodwill value (about $ 50 per user, see acquisitions LinkedIn, WhatsApp, etc.).</t>
  </si>
  <si>
    <t>Sources</t>
  </si>
  <si>
    <t>3-Years-Plan - e.com GmbH</t>
  </si>
  <si>
    <t>Estimation e.com:</t>
  </si>
  <si>
    <t>(Overwrites to B/C)</t>
  </si>
  <si>
    <r>
      <t xml:space="preserve">1. User numbers (per </t>
    </r>
    <r>
      <rPr>
        <b/>
        <sz val="7"/>
        <color rgb="FFFF0000"/>
        <rFont val="Arial"/>
        <family val="2"/>
      </rPr>
      <t>month</t>
    </r>
    <r>
      <rPr>
        <b/>
        <sz val="7"/>
        <rFont val="Arial"/>
        <family val="2"/>
      </rPr>
      <t>)</t>
    </r>
  </si>
  <si>
    <t>1.1 New users from paid advertising (e.g., YouTube, Facebook)</t>
  </si>
  <si>
    <t>1.2 New users from organic search (= free of charge)</t>
  </si>
  <si>
    <t>1.3 New users from free reporting (media cooperation)</t>
  </si>
  <si>
    <t>1.4 New users from free advertising through partners (VR shops, etc.)</t>
  </si>
  <si>
    <t>Sum A: New users by 1.1 - 1.4 (minus saturation)</t>
  </si>
  <si>
    <t>1.5 Growth rate through self-contained word of mouth</t>
  </si>
  <si>
    <t>1.6 Growth rate through "sent by connect" / multi-messenger sharing</t>
  </si>
  <si>
    <t>1.8 Growth Rate by Rewarding Friends Advertising</t>
  </si>
  <si>
    <t>1.7 Growth rate through (rewarded) social media sharing (e.g. 360 °)</t>
  </si>
  <si>
    <t>1.9 Growth rate through initialized word of mouth (sounds, safe ...)</t>
  </si>
  <si>
    <t>Sum B: growth rate by 1.5 - 1.9 (less saturation)</t>
  </si>
  <si>
    <t>1.11 Percentage of all previous users who quit connect per month</t>
  </si>
  <si>
    <t>Total growth rate per month (sum A + B - 1.11)</t>
  </si>
  <si>
    <t>Total new users per quarter less those leaving</t>
  </si>
  <si>
    <r>
      <t xml:space="preserve">Total active users (average per </t>
    </r>
    <r>
      <rPr>
        <b/>
        <sz val="7"/>
        <color rgb="FFFF0000"/>
        <rFont val="Arial"/>
        <family val="2"/>
      </rPr>
      <t>quarter</t>
    </r>
    <r>
      <rPr>
        <b/>
        <sz val="7"/>
        <rFont val="Arial"/>
        <family val="2"/>
      </rPr>
      <t>)</t>
    </r>
  </si>
  <si>
    <r>
      <t xml:space="preserve">2. Income (per </t>
    </r>
    <r>
      <rPr>
        <b/>
        <sz val="7"/>
        <color rgb="FFFF0000"/>
        <rFont val="Arial"/>
        <family val="2"/>
      </rPr>
      <t>month</t>
    </r>
    <r>
      <rPr>
        <b/>
        <sz val="7"/>
        <rFont val="Arial"/>
        <family val="2"/>
      </rPr>
      <t>)</t>
    </r>
  </si>
  <si>
    <t>2.1 In-app purchases (pets, games, items, 3D scenes, updates ...) (B2C)</t>
  </si>
  <si>
    <t>2.2 Product placement (initially 15+ branded products) (B2B)</t>
  </si>
  <si>
    <t>2.3 Provision for Third Party Content (Games, Scenes, Media ...) (B2B)</t>
  </si>
  <si>
    <t>2.4 Revenue from commission for connected external VR shops (B2B)</t>
  </si>
  <si>
    <t>2.5 Commission for direct online purchases (in the virtual home) (B2B)</t>
  </si>
  <si>
    <t>2.6 Revenue subscription for media partners (B2B)</t>
  </si>
  <si>
    <t>2.7 Income Sale of virtual land (B2B)</t>
  </si>
  <si>
    <t>2.8 Advertising in own media (e.g., user video channel) (B2B)</t>
  </si>
  <si>
    <t>2.9 One-time revenue for promotions or partnerships (B2B)</t>
  </si>
  <si>
    <r>
      <t xml:space="preserve">Total revenue (per </t>
    </r>
    <r>
      <rPr>
        <b/>
        <sz val="7"/>
        <color rgb="FFFF0000"/>
        <rFont val="Arial"/>
        <family val="2"/>
      </rPr>
      <t>quarter</t>
    </r>
    <r>
      <rPr>
        <b/>
        <sz val="7"/>
        <rFont val="Arial"/>
        <family val="2"/>
      </rPr>
      <t>)</t>
    </r>
  </si>
  <si>
    <t>3.1 Fixed capital investment</t>
  </si>
  <si>
    <t>3.2 Personnel (including social insurance, aliquot 13./14 salary, UG, etc.)</t>
  </si>
  <si>
    <t>3.3 Material / goods</t>
  </si>
  <si>
    <t>3.4 Operating expenses</t>
  </si>
  <si>
    <t>3.5 In-App Sales Transaction Fees (2.1) in the Google Play Store</t>
  </si>
  <si>
    <t>3.5 Interest and loan repayment</t>
  </si>
  <si>
    <r>
      <t xml:space="preserve">Total expenditure (per </t>
    </r>
    <r>
      <rPr>
        <b/>
        <sz val="7"/>
        <color rgb="FFFF0000"/>
        <rFont val="Arial"/>
        <family val="2"/>
      </rPr>
      <t>quarter</t>
    </r>
    <r>
      <rPr>
        <b/>
        <sz val="7"/>
        <rFont val="Arial"/>
        <family val="2"/>
      </rPr>
      <t>)</t>
    </r>
  </si>
  <si>
    <r>
      <t xml:space="preserve">4. Result (per </t>
    </r>
    <r>
      <rPr>
        <b/>
        <sz val="7"/>
        <color rgb="FFFF0000"/>
        <rFont val="Arial"/>
        <family val="2"/>
      </rPr>
      <t>quarter</t>
    </r>
    <r>
      <rPr>
        <b/>
        <sz val="7"/>
        <rFont val="Arial"/>
        <family val="2"/>
      </rPr>
      <t>)</t>
    </r>
  </si>
  <si>
    <t>Input fields right</t>
  </si>
  <si>
    <t>change 3.13 at Expenses</t>
  </si>
  <si>
    <r>
      <t xml:space="preserve">3. Expenses (per </t>
    </r>
    <r>
      <rPr>
        <b/>
        <sz val="7"/>
        <color rgb="FFFF0000"/>
        <rFont val="Arial"/>
        <family val="2"/>
      </rPr>
      <t>month</t>
    </r>
    <r>
      <rPr>
        <b/>
        <sz val="7"/>
        <rFont val="Arial"/>
        <family val="2"/>
      </rPr>
      <t>)</t>
    </r>
  </si>
  <si>
    <t>Estimation 2019</t>
  </si>
  <si>
    <t>Estimation 2020</t>
  </si>
  <si>
    <t>Sum</t>
  </si>
  <si>
    <t>Last Stand</t>
  </si>
  <si>
    <t>January</t>
  </si>
  <si>
    <t>March</t>
  </si>
  <si>
    <t>May</t>
  </si>
  <si>
    <t>June</t>
  </si>
  <si>
    <t>July</t>
  </si>
  <si>
    <t>October</t>
  </si>
  <si>
    <t>December</t>
  </si>
  <si>
    <t>Estimated</t>
  </si>
  <si>
    <t>February</t>
  </si>
  <si>
    <t>User, income, expenses and result for 2018 and 2019</t>
  </si>
  <si>
    <t>User, income, expenses and result for 2020, 2021, 2022 and 2023</t>
  </si>
  <si>
    <t>User growth of connect "Optimistic" compared to other successful social networks</t>
  </si>
  <si>
    <t>User growth of connect "Your Estimation (You)" compared to other successful social networks</t>
  </si>
  <si>
    <t>User growth of connect "Realistic" compared to other successful social networks</t>
  </si>
  <si>
    <t>User growth of connect "Cautious" compared to other successful social networks</t>
  </si>
  <si>
    <t>User growth of connect "Pessimistic" compared to other successful social networks</t>
  </si>
  <si>
    <t>User growth of connect "Worst Case" compared to other successful social networks</t>
  </si>
  <si>
    <t>User growth of connect "Possible" compared to other successful social networks</t>
  </si>
  <si>
    <t>Growth curve of connect "Possible" compared to other successful social networks</t>
  </si>
  <si>
    <t>Growth curve of connect "Worst Case" compared to other successful social networks</t>
  </si>
  <si>
    <t>Growth curve of connect "Pessimistic" compared to other successful social networks</t>
  </si>
  <si>
    <t>Growth curve of connect "Optimistic" compared to other successful social networks</t>
  </si>
  <si>
    <t>Growth curve of connect "Cautious" compared to other successful social networks</t>
  </si>
  <si>
    <t>Growth curve of connect "Realistic" compared to other successful social networks</t>
  </si>
  <si>
    <t>Growth curve of connect "Your Estimation (You)" compared to other successful social networks</t>
  </si>
  <si>
    <r>
      <t xml:space="preserve">If you wish, you can research statistical values - but please keep in mind that connect is better than average in many ways. </t>
    </r>
    <r>
      <rPr>
        <b/>
        <sz val="8"/>
        <rFont val="Arial"/>
        <family val="2"/>
      </rPr>
      <t>If needed, you can also find "Links to Statistics" in the tabs at the bottom left.</t>
    </r>
  </si>
  <si>
    <t>Rest</t>
  </si>
  <si>
    <t>Possible+</t>
  </si>
  <si>
    <r>
      <t xml:space="preserve">3-Years-Plan - Short Version                                           </t>
    </r>
    <r>
      <rPr>
        <b/>
        <sz val="11"/>
        <color theme="0" tint="-0.34998626667073579"/>
        <rFont val="Arial"/>
        <family val="2"/>
      </rPr>
      <t>(Numbers from "Realistic")</t>
    </r>
  </si>
  <si>
    <t>Costs</t>
  </si>
  <si>
    <t>Expenses for User Acquisition</t>
  </si>
  <si>
    <t>Personnel Expenses</t>
  </si>
  <si>
    <t>Profit</t>
  </si>
  <si>
    <t>Total Growth Rate</t>
  </si>
  <si>
    <t>no comparison</t>
  </si>
  <si>
    <t>New Users Total</t>
  </si>
  <si>
    <t>Users Total</t>
  </si>
  <si>
    <t>Estimation 2021</t>
  </si>
  <si>
    <t>Extremely speculative projections!</t>
  </si>
  <si>
    <t>Q4 2021</t>
  </si>
  <si>
    <t>Q1 2021</t>
  </si>
  <si>
    <t>Q2 2021</t>
  </si>
  <si>
    <t>Q3 2021</t>
  </si>
  <si>
    <t xml:space="preserve">Notes:    </t>
  </si>
  <si>
    <t xml:space="preserve">These numbers are only sum results of the "Realistic" forecast (see next tab), for more details please check there (comments too)   </t>
  </si>
  <si>
    <t>The estimated values (e.g. revenue) come from industry comparisons (see "Links to Statistics") and were compiled with several experts</t>
  </si>
  <si>
    <r>
      <rPr>
        <b/>
        <sz val="10"/>
        <color rgb="FF8A3CC4"/>
        <rFont val="Arial"/>
        <family val="2"/>
      </rPr>
      <t>*</t>
    </r>
    <r>
      <rPr>
        <sz val="10"/>
        <color rgb="FF8A3CC4"/>
        <rFont val="Arial"/>
        <family val="2"/>
      </rPr>
      <t xml:space="preserve"> "Additive Growth Rate": This results from four tricks to make every user an influencer - please see comments in "Realistic" (A10 - A13) &amp; "Comparision successful Networks"</t>
    </r>
  </si>
  <si>
    <r>
      <t xml:space="preserve">Growth in Absolute Users </t>
    </r>
    <r>
      <rPr>
        <sz val="11"/>
        <color theme="0" tint="-0.499984740745262"/>
        <rFont val="Arial"/>
        <family val="2"/>
      </rPr>
      <t>(Advertising, see Line 15)</t>
    </r>
  </si>
  <si>
    <r>
      <t xml:space="preserve">Additive Growth Rate </t>
    </r>
    <r>
      <rPr>
        <sz val="11"/>
        <color theme="0" tint="-0.499984740745262"/>
        <rFont val="Arial"/>
        <family val="2"/>
      </rPr>
      <t xml:space="preserve">(as a Percentage of User Base) </t>
    </r>
    <r>
      <rPr>
        <b/>
        <sz val="12"/>
        <color rgb="FF8A3CC4"/>
        <rFont val="Arial"/>
        <family val="2"/>
      </rPr>
      <t>*</t>
    </r>
  </si>
  <si>
    <t>Users who leave connect</t>
  </si>
  <si>
    <r>
      <t>Sale of Virtual Goods</t>
    </r>
    <r>
      <rPr>
        <sz val="11"/>
        <color theme="0" tint="-0.499984740745262"/>
        <rFont val="Arial"/>
        <family val="2"/>
      </rPr>
      <t xml:space="preserve"> (Own and Third Party)</t>
    </r>
  </si>
  <si>
    <r>
      <t xml:space="preserve">Sale of Real Goods </t>
    </r>
    <r>
      <rPr>
        <sz val="11"/>
        <color theme="0" tint="-0.499984740745262"/>
        <rFont val="Arial"/>
        <family val="2"/>
      </rPr>
      <t>(Commission from VR Shops, etc.)</t>
    </r>
  </si>
  <si>
    <r>
      <t xml:space="preserve">Big Data &amp; Advertising </t>
    </r>
    <r>
      <rPr>
        <sz val="11"/>
        <color theme="0" tint="-0.499984740745262"/>
        <rFont val="Arial"/>
        <family val="2"/>
      </rPr>
      <t>(Product Placement, etc.)</t>
    </r>
  </si>
  <si>
    <r>
      <t xml:space="preserve">Revenue </t>
    </r>
    <r>
      <rPr>
        <sz val="11"/>
        <color theme="0" tint="-0.499984740745262"/>
        <rFont val="Arial"/>
        <family val="2"/>
      </rPr>
      <t>(here: Total, above: per User / Year)</t>
    </r>
  </si>
  <si>
    <r>
      <t xml:space="preserve">End </t>
    </r>
    <r>
      <rPr>
        <b/>
        <sz val="8"/>
        <color rgb="FFFF0000"/>
        <rFont val="Arial"/>
        <family val="2"/>
      </rPr>
      <t>2018</t>
    </r>
  </si>
  <si>
    <t>3.6 Sales Tax</t>
  </si>
  <si>
    <t>3.7 Corporate Tax (and Income Tax)</t>
  </si>
  <si>
    <t>3.8 Private withdrawal of managing director / managing director salary</t>
  </si>
  <si>
    <t>3.9 User-dependent costs (including server costs, licenses, service)</t>
  </si>
  <si>
    <t>3.10 Outsourcing, external services and other expenses</t>
  </si>
  <si>
    <t>3.11 Cost per new user through paid advertising</t>
  </si>
  <si>
    <t>3.12 Expenditure on advertising (x percent of revenue)</t>
  </si>
  <si>
    <t>3.13 Advertising expenses (absolute value)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</si>
</sst>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quot;€&quot;"/>
    <numFmt numFmtId="165" formatCode="#,##0\ &quot;€&quot;"/>
    <numFmt numFmtId="166" formatCode="0.0%"/>
    <numFmt numFmtId="167" formatCode="&quot;€&quot;\ #,##0.00"/>
  </numFmts>
  <fonts count="72" x14ac:knownFonts="1">
    <font>
      <sz val="10"/>
      <name val="Arial"/>
    </font>
    <font>
      <sz val="11"/>
      <color theme="1"/>
      <name val="Calibri"/>
      <family val="2"/>
      <scheme val="minor"/>
    </font>
    <font>
      <sz val="11"/>
      <color theme="1"/>
      <name val="Calibri"/>
      <family val="2"/>
      <scheme val="minor"/>
    </font>
    <font>
      <sz val="8"/>
      <name val="Arial"/>
      <family val="2"/>
    </font>
    <font>
      <b/>
      <sz val="8"/>
      <name val="Arial"/>
      <family val="2"/>
    </font>
    <font>
      <sz val="8"/>
      <name val="Arial"/>
      <family val="2"/>
    </font>
    <font>
      <b/>
      <u/>
      <sz val="8"/>
      <name val="Arial"/>
      <family val="2"/>
    </font>
    <font>
      <b/>
      <sz val="9"/>
      <color indexed="81"/>
      <name val="Tahoma"/>
      <family val="2"/>
    </font>
    <font>
      <sz val="9"/>
      <color indexed="81"/>
      <name val="Tahoma"/>
      <family val="2"/>
    </font>
    <font>
      <b/>
      <u/>
      <sz val="7"/>
      <name val="Arial"/>
      <family val="2"/>
    </font>
    <font>
      <b/>
      <sz val="7"/>
      <name val="Arial"/>
      <family val="2"/>
    </font>
    <font>
      <sz val="7"/>
      <name val="Arial"/>
      <family val="2"/>
    </font>
    <font>
      <b/>
      <sz val="8"/>
      <color theme="0"/>
      <name val="Arial"/>
      <family val="2"/>
    </font>
    <font>
      <b/>
      <sz val="7"/>
      <color theme="0"/>
      <name val="Arial"/>
      <family val="2"/>
    </font>
    <font>
      <u/>
      <sz val="9"/>
      <color indexed="81"/>
      <name val="Tahoma"/>
      <family val="2"/>
    </font>
    <font>
      <sz val="7"/>
      <color theme="1"/>
      <name val="Arial"/>
      <family val="2"/>
    </font>
    <font>
      <b/>
      <sz val="15"/>
      <color theme="0"/>
      <name val="Arial"/>
      <family val="2"/>
    </font>
    <font>
      <sz val="7"/>
      <color rgb="FFFF0000"/>
      <name val="Arial"/>
      <family val="2"/>
    </font>
    <font>
      <sz val="7"/>
      <color theme="0"/>
      <name val="Arial"/>
      <family val="2"/>
    </font>
    <font>
      <sz val="7"/>
      <color theme="0" tint="-0.499984740745262"/>
      <name val="Arial"/>
      <family val="2"/>
    </font>
    <font>
      <b/>
      <u/>
      <sz val="9"/>
      <color indexed="81"/>
      <name val="Tahoma"/>
      <family val="2"/>
    </font>
    <font>
      <sz val="11"/>
      <color rgb="FFFF0000"/>
      <name val="Calibri"/>
      <family val="2"/>
      <scheme val="minor"/>
    </font>
    <font>
      <b/>
      <sz val="11"/>
      <color theme="1"/>
      <name val="Calibri"/>
      <family val="2"/>
      <scheme val="minor"/>
    </font>
    <font>
      <sz val="11"/>
      <color theme="0" tint="-0.499984740745262"/>
      <name val="Calibri"/>
      <family val="2"/>
      <scheme val="minor"/>
    </font>
    <font>
      <sz val="11"/>
      <name val="Calibri"/>
      <family val="2"/>
      <scheme val="minor"/>
    </font>
    <font>
      <b/>
      <sz val="11"/>
      <color theme="0" tint="-0.499984740745262"/>
      <name val="Calibri"/>
      <family val="2"/>
      <scheme val="minor"/>
    </font>
    <font>
      <u/>
      <sz val="10"/>
      <color theme="10"/>
      <name val="Arial"/>
      <family val="2"/>
    </font>
    <font>
      <b/>
      <sz val="10"/>
      <name val="Arial"/>
      <family val="2"/>
    </font>
    <font>
      <sz val="10"/>
      <name val="Arial"/>
      <family val="2"/>
    </font>
    <font>
      <b/>
      <sz val="11"/>
      <color rgb="FFFF0000"/>
      <name val="Calibri"/>
      <family val="2"/>
      <scheme val="minor"/>
    </font>
    <font>
      <u/>
      <sz val="10"/>
      <name val="Arial"/>
      <family val="2"/>
    </font>
    <font>
      <b/>
      <sz val="7"/>
      <color rgb="FFFF0000"/>
      <name val="Arial"/>
      <family val="2"/>
    </font>
    <font>
      <b/>
      <sz val="7"/>
      <color rgb="FFC00000"/>
      <name val="Arial"/>
      <family val="2"/>
    </font>
    <font>
      <b/>
      <sz val="8"/>
      <color rgb="FFC00000"/>
      <name val="Arial"/>
      <family val="2"/>
    </font>
    <font>
      <sz val="10"/>
      <color theme="0" tint="-0.499984740745262"/>
      <name val="Arial"/>
      <family val="2"/>
    </font>
    <font>
      <sz val="8"/>
      <color theme="0" tint="-0.499984740745262"/>
      <name val="Arial"/>
      <family val="2"/>
    </font>
    <font>
      <u/>
      <sz val="7"/>
      <name val="Arial"/>
      <family val="2"/>
    </font>
    <font>
      <b/>
      <i/>
      <sz val="9"/>
      <color indexed="81"/>
      <name val="Tahoma"/>
      <family val="2"/>
    </font>
    <font>
      <sz val="7"/>
      <color rgb="FF00B050"/>
      <name val="Arial"/>
      <family val="2"/>
    </font>
    <font>
      <b/>
      <sz val="7"/>
      <color rgb="FF00B050"/>
      <name val="Arial"/>
      <family val="2"/>
    </font>
    <font>
      <sz val="8"/>
      <color theme="0"/>
      <name val="Arial"/>
      <family val="2"/>
    </font>
    <font>
      <i/>
      <sz val="9"/>
      <color indexed="81"/>
      <name val="Tahoma"/>
      <family val="2"/>
    </font>
    <font>
      <b/>
      <u/>
      <sz val="10"/>
      <name val="Arial"/>
      <family val="2"/>
    </font>
    <font>
      <b/>
      <sz val="12"/>
      <name val="Arial"/>
      <family val="2"/>
    </font>
    <font>
      <b/>
      <u/>
      <sz val="8"/>
      <color rgb="FFFF0000"/>
      <name val="Arial"/>
      <family val="2"/>
    </font>
    <font>
      <b/>
      <sz val="14"/>
      <color theme="1"/>
      <name val="Calibri"/>
      <family val="2"/>
      <scheme val="minor"/>
    </font>
    <font>
      <b/>
      <sz val="14"/>
      <name val="Calibri"/>
      <family val="2"/>
      <scheme val="minor"/>
    </font>
    <font>
      <b/>
      <sz val="7"/>
      <color rgb="FF0070C0"/>
      <name val="Arial"/>
      <family val="2"/>
    </font>
    <font>
      <sz val="7"/>
      <color rgb="FF0070C0"/>
      <name val="Arial"/>
      <family val="2"/>
    </font>
    <font>
      <b/>
      <u/>
      <sz val="7"/>
      <color rgb="FFFF0000"/>
      <name val="Arial"/>
      <family val="2"/>
    </font>
    <font>
      <sz val="7"/>
      <color rgb="FF8A3CC4"/>
      <name val="Arial"/>
      <family val="2"/>
    </font>
    <font>
      <b/>
      <sz val="11"/>
      <name val="Arial"/>
      <family val="2"/>
    </font>
    <font>
      <b/>
      <sz val="12"/>
      <color rgb="FFFF0000"/>
      <name val="Arial"/>
      <family val="2"/>
    </font>
    <font>
      <b/>
      <sz val="8"/>
      <color rgb="FFFF0000"/>
      <name val="Arial"/>
      <family val="2"/>
    </font>
    <font>
      <sz val="12"/>
      <name val="Calibri"/>
      <family val="2"/>
    </font>
    <font>
      <b/>
      <sz val="12"/>
      <name val="Calibri"/>
      <family val="2"/>
    </font>
    <font>
      <sz val="12"/>
      <color theme="0" tint="-0.499984740745262"/>
      <name val="Calibri"/>
      <family val="2"/>
    </font>
    <font>
      <i/>
      <sz val="10"/>
      <name val="Arial"/>
      <family val="2"/>
    </font>
    <font>
      <b/>
      <sz val="11"/>
      <color theme="0"/>
      <name val="Arial"/>
      <family val="2"/>
    </font>
    <font>
      <b/>
      <sz val="11"/>
      <color theme="0" tint="-0.34998626667073579"/>
      <name val="Arial"/>
      <family val="2"/>
    </font>
    <font>
      <sz val="11"/>
      <name val="Arial"/>
      <family val="2"/>
    </font>
    <font>
      <b/>
      <sz val="11"/>
      <color rgb="FF00B050"/>
      <name val="Arial"/>
      <family val="2"/>
    </font>
    <font>
      <b/>
      <sz val="11"/>
      <color rgb="FFFF0000"/>
      <name val="Arial"/>
      <family val="2"/>
    </font>
    <font>
      <sz val="11"/>
      <color rgb="FF0070C0"/>
      <name val="Arial"/>
      <family val="2"/>
    </font>
    <font>
      <b/>
      <sz val="11"/>
      <color rgb="FF0070C0"/>
      <name val="Arial"/>
      <family val="2"/>
    </font>
    <font>
      <sz val="11"/>
      <color theme="0" tint="-0.499984740745262"/>
      <name val="Arial"/>
      <family val="2"/>
    </font>
    <font>
      <sz val="11"/>
      <color theme="1"/>
      <name val="Arial"/>
      <family val="2"/>
    </font>
    <font>
      <sz val="11"/>
      <color theme="0"/>
      <name val="Arial"/>
      <family val="2"/>
    </font>
    <font>
      <b/>
      <u/>
      <sz val="11"/>
      <name val="Arial"/>
      <family val="2"/>
    </font>
    <font>
      <sz val="10"/>
      <color rgb="FF8A3CC4"/>
      <name val="Arial"/>
      <family val="2"/>
    </font>
    <font>
      <b/>
      <sz val="12"/>
      <color rgb="FF8A3CC4"/>
      <name val="Arial"/>
      <family val="2"/>
    </font>
    <font>
      <b/>
      <sz val="10"/>
      <color rgb="FF8A3CC4"/>
      <name val="Arial"/>
      <family val="2"/>
    </font>
  </fonts>
  <fills count="33">
    <fill>
      <patternFill patternType="none"/>
    </fill>
    <fill>
      <patternFill patternType="gray125"/>
    </fill>
    <fill>
      <patternFill patternType="solid">
        <fgColor theme="6" tint="0.79998168889431442"/>
        <bgColor indexed="64"/>
      </patternFill>
    </fill>
    <fill>
      <patternFill patternType="solid">
        <fgColor theme="6" tint="0.39997558519241921"/>
        <bgColor indexed="64"/>
      </patternFill>
    </fill>
    <fill>
      <patternFill patternType="solid">
        <fgColor theme="1" tint="0.149998474074526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6DC71B"/>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rgb="FF934BC9"/>
        <bgColor indexed="64"/>
      </patternFill>
    </fill>
    <fill>
      <patternFill patternType="solid">
        <fgColor rgb="FFC00000"/>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rgb="FFF7DB31"/>
        <bgColor indexed="64"/>
      </patternFill>
    </fill>
    <fill>
      <patternFill patternType="solid">
        <fgColor rgb="FFCC66FF"/>
        <bgColor indexed="64"/>
      </patternFill>
    </fill>
    <fill>
      <patternFill patternType="solid">
        <fgColor rgb="FF66FFCC"/>
        <bgColor indexed="64"/>
      </patternFill>
    </fill>
    <fill>
      <patternFill patternType="solid">
        <fgColor theme="5" tint="0.59999389629810485"/>
        <bgColor indexed="64"/>
      </patternFill>
    </fill>
    <fill>
      <patternFill patternType="solid">
        <fgColor rgb="FF8AD6B4"/>
        <bgColor indexed="64"/>
      </patternFill>
    </fill>
    <fill>
      <patternFill patternType="solid">
        <fgColor theme="7" tint="0.39997558519241921"/>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26" fillId="0" borderId="0" applyNumberFormat="0" applyFill="0" applyBorder="0" applyAlignment="0" applyProtection="0"/>
  </cellStyleXfs>
  <cellXfs count="730">
    <xf numFmtId="0" fontId="0" fillId="0" borderId="0" xfId="0"/>
    <xf numFmtId="0" fontId="5" fillId="0" borderId="0" xfId="0" applyFont="1" applyAlignment="1">
      <alignment vertical="center"/>
    </xf>
    <xf numFmtId="0" fontId="5" fillId="0" borderId="0" xfId="0" applyFont="1"/>
    <xf numFmtId="0" fontId="4" fillId="0" borderId="0" xfId="0" applyFont="1" applyAlignment="1">
      <alignment vertical="center"/>
    </xf>
    <xf numFmtId="0" fontId="4" fillId="0" borderId="0" xfId="0" applyFont="1" applyFill="1" applyAlignment="1">
      <alignment vertical="center"/>
    </xf>
    <xf numFmtId="0" fontId="5" fillId="0" borderId="0" xfId="0" applyFont="1" applyFill="1"/>
    <xf numFmtId="0" fontId="5" fillId="0" borderId="0" xfId="0" applyFont="1" applyFill="1" applyAlignment="1">
      <alignment vertical="center"/>
    </xf>
    <xf numFmtId="0" fontId="4" fillId="0" borderId="0" xfId="0" applyFont="1" applyFill="1"/>
    <xf numFmtId="0" fontId="6" fillId="0" borderId="0" xfId="0" applyFont="1" applyFill="1" applyAlignment="1">
      <alignment vertical="center"/>
    </xf>
    <xf numFmtId="0" fontId="11" fillId="0" borderId="0" xfId="0" applyFont="1"/>
    <xf numFmtId="2" fontId="11" fillId="0" borderId="0" xfId="0" applyNumberFormat="1" applyFont="1"/>
    <xf numFmtId="1" fontId="11" fillId="0" borderId="0" xfId="0" applyNumberFormat="1" applyFont="1"/>
    <xf numFmtId="0" fontId="11" fillId="0" borderId="0" xfId="0" applyFont="1" applyFill="1" applyAlignment="1">
      <alignment vertical="center"/>
    </xf>
    <xf numFmtId="0" fontId="11" fillId="0" borderId="0" xfId="0" applyFont="1" applyFill="1"/>
    <xf numFmtId="0" fontId="11" fillId="0" borderId="0" xfId="0" applyFont="1" applyAlignment="1">
      <alignment vertical="center"/>
    </xf>
    <xf numFmtId="0" fontId="11" fillId="0" borderId="0" xfId="0" applyFont="1" applyAlignment="1">
      <alignment horizontal="left" vertical="center"/>
    </xf>
    <xf numFmtId="0" fontId="9" fillId="0" borderId="0" xfId="0" applyFont="1" applyFill="1" applyAlignment="1">
      <alignment vertical="center"/>
    </xf>
    <xf numFmtId="0" fontId="10" fillId="0" borderId="0" xfId="0" applyFont="1" applyFill="1" applyAlignment="1">
      <alignment vertical="center"/>
    </xf>
    <xf numFmtId="0" fontId="11" fillId="0" borderId="0" xfId="0" applyFont="1" applyFill="1" applyAlignment="1">
      <alignment horizontal="right" vertical="center"/>
    </xf>
    <xf numFmtId="0" fontId="11" fillId="0" borderId="0" xfId="0" applyFont="1" applyFill="1" applyAlignment="1">
      <alignment horizontal="left" vertical="center"/>
    </xf>
    <xf numFmtId="0" fontId="11" fillId="0" borderId="0" xfId="0" applyFont="1" applyFill="1" applyAlignment="1">
      <alignment horizontal="left"/>
    </xf>
    <xf numFmtId="0" fontId="11" fillId="0" borderId="0" xfId="0" applyFont="1" applyAlignment="1">
      <alignment horizontal="left"/>
    </xf>
    <xf numFmtId="0" fontId="10" fillId="0" borderId="0" xfId="0" applyFont="1" applyAlignment="1">
      <alignment horizontal="left"/>
    </xf>
    <xf numFmtId="0" fontId="11" fillId="0" borderId="0" xfId="0" applyFont="1" applyFill="1" applyBorder="1" applyAlignment="1">
      <alignment vertical="center"/>
    </xf>
    <xf numFmtId="0" fontId="10" fillId="0" borderId="0" xfId="0" applyFont="1" applyFill="1" applyBorder="1" applyAlignment="1">
      <alignment vertical="center"/>
    </xf>
    <xf numFmtId="164" fontId="10" fillId="0" borderId="0" xfId="0" applyNumberFormat="1" applyFont="1" applyFill="1" applyBorder="1" applyAlignment="1">
      <alignment vertical="center" wrapText="1"/>
    </xf>
    <xf numFmtId="0" fontId="10" fillId="0" borderId="0" xfId="0" applyFont="1" applyFill="1" applyBorder="1" applyAlignment="1">
      <alignment vertical="center" wrapText="1"/>
    </xf>
    <xf numFmtId="0" fontId="5" fillId="0" borderId="0" xfId="0" applyFont="1" applyFill="1" applyBorder="1" applyAlignment="1">
      <alignment vertical="center"/>
    </xf>
    <xf numFmtId="0" fontId="6" fillId="0" borderId="0" xfId="0" applyFont="1" applyFill="1" applyBorder="1" applyAlignment="1">
      <alignment vertical="center"/>
    </xf>
    <xf numFmtId="0" fontId="4" fillId="0" borderId="0" xfId="0" applyFont="1" applyFill="1" applyBorder="1" applyAlignment="1">
      <alignment vertical="center"/>
    </xf>
    <xf numFmtId="0" fontId="10" fillId="4" borderId="1" xfId="0" applyFont="1" applyFill="1" applyBorder="1" applyAlignment="1">
      <alignment vertical="center" wrapText="1"/>
    </xf>
    <xf numFmtId="0" fontId="11" fillId="4" borderId="1" xfId="0" applyFont="1" applyFill="1" applyBorder="1" applyAlignment="1">
      <alignment vertical="center" wrapText="1"/>
    </xf>
    <xf numFmtId="0" fontId="10" fillId="4" borderId="1" xfId="0" applyFont="1" applyFill="1" applyBorder="1" applyAlignment="1">
      <alignment horizontal="center" vertical="center" wrapText="1"/>
    </xf>
    <xf numFmtId="164" fontId="11" fillId="2" borderId="1" xfId="0" applyNumberFormat="1" applyFont="1" applyFill="1" applyBorder="1" applyAlignment="1">
      <alignment vertical="center" wrapText="1"/>
    </xf>
    <xf numFmtId="0" fontId="11" fillId="0" borderId="0" xfId="0" applyFont="1" applyAlignment="1"/>
    <xf numFmtId="3" fontId="11" fillId="8" borderId="1" xfId="0" applyNumberFormat="1" applyFont="1" applyFill="1" applyBorder="1" applyAlignment="1">
      <alignment vertical="center" wrapText="1"/>
    </xf>
    <xf numFmtId="3" fontId="10" fillId="7" borderId="1" xfId="0" applyNumberFormat="1" applyFont="1" applyFill="1" applyBorder="1" applyAlignment="1">
      <alignment vertical="center" wrapText="1"/>
    </xf>
    <xf numFmtId="0" fontId="12" fillId="4" borderId="8"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8" xfId="0" applyFont="1" applyFill="1" applyBorder="1" applyAlignment="1">
      <alignment horizontal="center"/>
    </xf>
    <xf numFmtId="0" fontId="10" fillId="4" borderId="11" xfId="0" applyFont="1" applyFill="1" applyBorder="1" applyAlignment="1">
      <alignment vertical="center" wrapText="1"/>
    </xf>
    <xf numFmtId="0" fontId="10" fillId="4" borderId="12" xfId="0" applyFont="1" applyFill="1" applyBorder="1" applyAlignment="1">
      <alignment horizontal="center" vertical="center" wrapText="1"/>
    </xf>
    <xf numFmtId="0" fontId="10" fillId="4" borderId="12" xfId="0" applyFont="1" applyFill="1" applyBorder="1" applyAlignment="1">
      <alignment vertical="center" wrapText="1"/>
    </xf>
    <xf numFmtId="3" fontId="11" fillId="9" borderId="1" xfId="0" applyNumberFormat="1" applyFont="1" applyFill="1" applyBorder="1" applyAlignment="1">
      <alignment vertical="center" wrapText="1"/>
    </xf>
    <xf numFmtId="0" fontId="12" fillId="10" borderId="8" xfId="0" applyFont="1" applyFill="1" applyBorder="1" applyAlignment="1">
      <alignment horizontal="center" vertical="center" wrapText="1"/>
    </xf>
    <xf numFmtId="2" fontId="11" fillId="0" borderId="0" xfId="0" applyNumberFormat="1" applyFont="1" applyFill="1"/>
    <xf numFmtId="1" fontId="11" fillId="0" borderId="0" xfId="0" applyNumberFormat="1" applyFont="1" applyFill="1"/>
    <xf numFmtId="0" fontId="12" fillId="4" borderId="18"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10" borderId="17" xfId="0" applyFont="1" applyFill="1" applyBorder="1" applyAlignment="1">
      <alignment horizontal="center" vertical="center" wrapText="1"/>
    </xf>
    <xf numFmtId="0" fontId="10" fillId="8" borderId="22" xfId="0" applyFont="1" applyFill="1" applyBorder="1" applyAlignment="1">
      <alignment wrapText="1"/>
    </xf>
    <xf numFmtId="0" fontId="11" fillId="8" borderId="23" xfId="0" applyFont="1" applyFill="1" applyBorder="1" applyAlignment="1">
      <alignment vertical="center" wrapText="1"/>
    </xf>
    <xf numFmtId="0" fontId="10" fillId="7" borderId="23" xfId="0" applyFont="1" applyFill="1" applyBorder="1" applyAlignment="1">
      <alignment vertical="center" wrapText="1"/>
    </xf>
    <xf numFmtId="2" fontId="11" fillId="8" borderId="23" xfId="0" applyNumberFormat="1" applyFont="1" applyFill="1" applyBorder="1" applyAlignment="1">
      <alignment vertical="center" wrapText="1"/>
    </xf>
    <xf numFmtId="1" fontId="10" fillId="7" borderId="23" xfId="0" applyNumberFormat="1" applyFont="1" applyFill="1" applyBorder="1" applyAlignment="1">
      <alignment vertical="center" wrapText="1"/>
    </xf>
    <xf numFmtId="0" fontId="10" fillId="4" borderId="23" xfId="0" applyFont="1" applyFill="1" applyBorder="1" applyAlignment="1">
      <alignment vertical="center" wrapText="1"/>
    </xf>
    <xf numFmtId="0" fontId="10" fillId="2" borderId="23" xfId="0" applyFont="1" applyFill="1" applyBorder="1" applyAlignment="1">
      <alignment vertical="center" wrapText="1"/>
    </xf>
    <xf numFmtId="0" fontId="11" fillId="2" borderId="23" xfId="0" applyFont="1" applyFill="1" applyBorder="1" applyAlignment="1">
      <alignment vertical="center" wrapText="1"/>
    </xf>
    <xf numFmtId="16" fontId="11" fillId="2" borderId="23" xfId="0" applyNumberFormat="1" applyFont="1" applyFill="1" applyBorder="1" applyAlignment="1">
      <alignment vertical="center" wrapText="1"/>
    </xf>
    <xf numFmtId="0" fontId="10" fillId="3" borderId="23" xfId="0" applyFont="1" applyFill="1" applyBorder="1" applyAlignment="1">
      <alignment vertical="center" wrapText="1"/>
    </xf>
    <xf numFmtId="0" fontId="10" fillId="5" borderId="23" xfId="0" applyFont="1" applyFill="1" applyBorder="1" applyAlignment="1">
      <alignment vertical="center" wrapText="1"/>
    </xf>
    <xf numFmtId="164" fontId="11" fillId="5" borderId="23" xfId="0" applyNumberFormat="1" applyFont="1" applyFill="1" applyBorder="1" applyAlignment="1">
      <alignment vertical="center" wrapText="1"/>
    </xf>
    <xf numFmtId="164" fontId="10" fillId="6" borderId="23" xfId="0" applyNumberFormat="1" applyFont="1" applyFill="1" applyBorder="1" applyAlignment="1">
      <alignment vertical="center" wrapText="1"/>
    </xf>
    <xf numFmtId="0" fontId="10" fillId="4" borderId="24" xfId="0" applyFont="1" applyFill="1" applyBorder="1" applyAlignment="1">
      <alignment vertical="center" wrapText="1"/>
    </xf>
    <xf numFmtId="0" fontId="11" fillId="4" borderId="26" xfId="0" applyFont="1" applyFill="1" applyBorder="1" applyAlignment="1">
      <alignment vertical="center" wrapText="1"/>
    </xf>
    <xf numFmtId="0" fontId="11" fillId="4" borderId="12" xfId="0" applyFont="1" applyFill="1" applyBorder="1" applyAlignment="1">
      <alignment vertical="center" wrapText="1"/>
    </xf>
    <xf numFmtId="4" fontId="10" fillId="4" borderId="26" xfId="0" applyNumberFormat="1" applyFont="1" applyFill="1" applyBorder="1" applyAlignment="1">
      <alignment vertical="center" wrapText="1"/>
    </xf>
    <xf numFmtId="164" fontId="10" fillId="4" borderId="1" xfId="0" applyNumberFormat="1" applyFont="1" applyFill="1" applyBorder="1" applyAlignment="1">
      <alignment vertical="center" wrapText="1"/>
    </xf>
    <xf numFmtId="164" fontId="10" fillId="4" borderId="12" xfId="0" applyNumberFormat="1" applyFont="1" applyFill="1" applyBorder="1" applyAlignment="1">
      <alignment vertical="center" wrapText="1"/>
    </xf>
    <xf numFmtId="165" fontId="10" fillId="5" borderId="1" xfId="0" applyNumberFormat="1" applyFont="1" applyFill="1" applyBorder="1" applyAlignment="1">
      <alignment vertical="center" wrapText="1"/>
    </xf>
    <xf numFmtId="165" fontId="11" fillId="5" borderId="1" xfId="0" applyNumberFormat="1" applyFont="1" applyFill="1" applyBorder="1" applyAlignment="1">
      <alignment vertical="center" wrapText="1"/>
    </xf>
    <xf numFmtId="165" fontId="10" fillId="2" borderId="1" xfId="0" applyNumberFormat="1" applyFont="1" applyFill="1" applyBorder="1" applyAlignment="1">
      <alignment vertical="center" wrapText="1"/>
    </xf>
    <xf numFmtId="165" fontId="10" fillId="9" borderId="1" xfId="0" applyNumberFormat="1" applyFont="1" applyFill="1" applyBorder="1" applyAlignment="1">
      <alignment vertical="center" wrapText="1"/>
    </xf>
    <xf numFmtId="165" fontId="11" fillId="2" borderId="1" xfId="0" applyNumberFormat="1" applyFont="1" applyFill="1" applyBorder="1" applyAlignment="1">
      <alignment vertical="center" wrapText="1"/>
    </xf>
    <xf numFmtId="165" fontId="11" fillId="9" borderId="1" xfId="0" applyNumberFormat="1" applyFont="1" applyFill="1" applyBorder="1" applyAlignment="1">
      <alignment vertical="center" wrapText="1"/>
    </xf>
    <xf numFmtId="165" fontId="10" fillId="3" borderId="1" xfId="0" applyNumberFormat="1" applyFont="1" applyFill="1" applyBorder="1" applyAlignment="1">
      <alignment vertical="center" wrapText="1"/>
    </xf>
    <xf numFmtId="164" fontId="10" fillId="2" borderId="1" xfId="0" applyNumberFormat="1" applyFont="1" applyFill="1" applyBorder="1" applyAlignment="1">
      <alignment vertical="center" wrapText="1"/>
    </xf>
    <xf numFmtId="165" fontId="10" fillId="6" borderId="1" xfId="0" applyNumberFormat="1" applyFont="1" applyFill="1" applyBorder="1" applyAlignment="1">
      <alignment vertical="center" wrapText="1"/>
    </xf>
    <xf numFmtId="165" fontId="10" fillId="4" borderId="16" xfId="0" applyNumberFormat="1" applyFont="1" applyFill="1" applyBorder="1" applyAlignment="1">
      <alignment vertical="center" wrapText="1"/>
    </xf>
    <xf numFmtId="165" fontId="10" fillId="4" borderId="3" xfId="0" applyNumberFormat="1" applyFont="1" applyFill="1" applyBorder="1" applyAlignment="1">
      <alignment vertical="center" wrapText="1"/>
    </xf>
    <xf numFmtId="165" fontId="10" fillId="4" borderId="1" xfId="0" applyNumberFormat="1" applyFont="1" applyFill="1" applyBorder="1" applyAlignment="1">
      <alignment vertical="center" wrapText="1"/>
    </xf>
    <xf numFmtId="165" fontId="10" fillId="4" borderId="12" xfId="0" applyNumberFormat="1" applyFont="1" applyFill="1" applyBorder="1" applyAlignment="1">
      <alignment vertical="center" wrapText="1"/>
    </xf>
    <xf numFmtId="165" fontId="10" fillId="9" borderId="5" xfId="0" applyNumberFormat="1" applyFont="1" applyFill="1" applyBorder="1" applyAlignment="1">
      <alignment vertical="center" wrapText="1"/>
    </xf>
    <xf numFmtId="165" fontId="10" fillId="9" borderId="13" xfId="0" applyNumberFormat="1" applyFont="1" applyFill="1" applyBorder="1" applyAlignment="1">
      <alignment vertical="center" wrapText="1"/>
    </xf>
    <xf numFmtId="165" fontId="10" fillId="9" borderId="26" xfId="0" applyNumberFormat="1" applyFont="1" applyFill="1" applyBorder="1" applyAlignment="1">
      <alignment vertical="center" wrapText="1"/>
    </xf>
    <xf numFmtId="164" fontId="11" fillId="9" borderId="1" xfId="0" applyNumberFormat="1" applyFont="1" applyFill="1" applyBorder="1" applyAlignment="1">
      <alignment vertical="center" wrapText="1"/>
    </xf>
    <xf numFmtId="164" fontId="10" fillId="9" borderId="12" xfId="0" applyNumberFormat="1" applyFont="1" applyFill="1" applyBorder="1" applyAlignment="1">
      <alignment vertical="center" wrapText="1"/>
    </xf>
    <xf numFmtId="164" fontId="11" fillId="9" borderId="12" xfId="0" applyNumberFormat="1" applyFont="1" applyFill="1" applyBorder="1" applyAlignment="1">
      <alignment vertical="center" wrapText="1"/>
    </xf>
    <xf numFmtId="165" fontId="11" fillId="9" borderId="12" xfId="0" applyNumberFormat="1" applyFont="1" applyFill="1" applyBorder="1" applyAlignment="1">
      <alignment vertical="center" wrapText="1"/>
    </xf>
    <xf numFmtId="165" fontId="10" fillId="9" borderId="12" xfId="0" applyNumberFormat="1" applyFont="1" applyFill="1" applyBorder="1" applyAlignment="1">
      <alignment vertical="center" wrapText="1"/>
    </xf>
    <xf numFmtId="0" fontId="13" fillId="9" borderId="13" xfId="0" applyFont="1" applyFill="1" applyBorder="1" applyAlignment="1">
      <alignment horizontal="center" vertical="center" wrapText="1"/>
    </xf>
    <xf numFmtId="0" fontId="13" fillId="9" borderId="31" xfId="0" applyFont="1" applyFill="1" applyBorder="1" applyAlignment="1">
      <alignment horizontal="center" vertical="center" wrapText="1"/>
    </xf>
    <xf numFmtId="0" fontId="13" fillId="10" borderId="17" xfId="0" applyFont="1" applyFill="1" applyBorder="1" applyAlignment="1">
      <alignment horizontal="center" vertical="center" wrapText="1"/>
    </xf>
    <xf numFmtId="0" fontId="13" fillId="9" borderId="32" xfId="0" applyFont="1" applyFill="1" applyBorder="1" applyAlignment="1">
      <alignment horizontal="center" vertical="center" wrapText="1"/>
    </xf>
    <xf numFmtId="0" fontId="12" fillId="10" borderId="15" xfId="0" applyFont="1" applyFill="1" applyBorder="1" applyAlignment="1">
      <alignment horizontal="center" vertical="center" wrapText="1"/>
    </xf>
    <xf numFmtId="165" fontId="10" fillId="3" borderId="13" xfId="0" applyNumberFormat="1" applyFont="1" applyFill="1" applyBorder="1" applyAlignment="1">
      <alignment vertical="center" wrapText="1"/>
    </xf>
    <xf numFmtId="165" fontId="10" fillId="3" borderId="5" xfId="0" applyNumberFormat="1" applyFont="1" applyFill="1" applyBorder="1" applyAlignment="1">
      <alignment vertical="center" wrapText="1"/>
    </xf>
    <xf numFmtId="165" fontId="10" fillId="6" borderId="13" xfId="0" applyNumberFormat="1" applyFont="1" applyFill="1" applyBorder="1" applyAlignment="1">
      <alignment vertical="center" wrapText="1"/>
    </xf>
    <xf numFmtId="3" fontId="11" fillId="8" borderId="26" xfId="0" applyNumberFormat="1" applyFont="1" applyFill="1" applyBorder="1" applyAlignment="1">
      <alignment vertical="center" wrapText="1"/>
    </xf>
    <xf numFmtId="3" fontId="10" fillId="7" borderId="26" xfId="0" applyNumberFormat="1" applyFont="1" applyFill="1" applyBorder="1" applyAlignment="1">
      <alignment vertical="center" wrapText="1"/>
    </xf>
    <xf numFmtId="164" fontId="10" fillId="2" borderId="26" xfId="0" applyNumberFormat="1" applyFont="1" applyFill="1" applyBorder="1" applyAlignment="1">
      <alignment vertical="center" wrapText="1"/>
    </xf>
    <xf numFmtId="165" fontId="10" fillId="3" borderId="26" xfId="0" applyNumberFormat="1" applyFont="1" applyFill="1" applyBorder="1" applyAlignment="1">
      <alignment vertical="center" wrapText="1"/>
    </xf>
    <xf numFmtId="0" fontId="10" fillId="4" borderId="26" xfId="0" applyFont="1" applyFill="1" applyBorder="1" applyAlignment="1">
      <alignment vertical="center" wrapText="1"/>
    </xf>
    <xf numFmtId="165" fontId="10" fillId="5" borderId="26" xfId="0" applyNumberFormat="1" applyFont="1" applyFill="1" applyBorder="1" applyAlignment="1">
      <alignment vertical="center" wrapText="1"/>
    </xf>
    <xf numFmtId="165" fontId="11" fillId="5" borderId="26" xfId="0" applyNumberFormat="1" applyFont="1" applyFill="1" applyBorder="1" applyAlignment="1">
      <alignment vertical="center" wrapText="1"/>
    </xf>
    <xf numFmtId="165" fontId="10" fillId="6" borderId="26" xfId="0" applyNumberFormat="1" applyFont="1" applyFill="1" applyBorder="1" applyAlignment="1">
      <alignment vertical="center" wrapText="1"/>
    </xf>
    <xf numFmtId="164" fontId="10" fillId="4" borderId="26" xfId="0" applyNumberFormat="1" applyFont="1" applyFill="1" applyBorder="1" applyAlignment="1">
      <alignment vertical="center" wrapText="1"/>
    </xf>
    <xf numFmtId="165" fontId="10" fillId="6" borderId="32" xfId="0" applyNumberFormat="1" applyFont="1" applyFill="1" applyBorder="1" applyAlignment="1">
      <alignment vertical="center" wrapText="1"/>
    </xf>
    <xf numFmtId="0" fontId="10" fillId="4" borderId="30" xfId="0" applyFont="1" applyFill="1" applyBorder="1" applyAlignment="1">
      <alignment vertical="center" wrapText="1"/>
    </xf>
    <xf numFmtId="3" fontId="11" fillId="9" borderId="12" xfId="0" applyNumberFormat="1" applyFont="1" applyFill="1" applyBorder="1" applyAlignment="1">
      <alignment vertical="center" wrapText="1"/>
    </xf>
    <xf numFmtId="3" fontId="11" fillId="0" borderId="0" xfId="0" applyNumberFormat="1" applyFont="1"/>
    <xf numFmtId="3" fontId="11" fillId="0" borderId="0" xfId="0" applyNumberFormat="1" applyFont="1" applyFill="1"/>
    <xf numFmtId="166" fontId="11" fillId="8" borderId="1" xfId="0" applyNumberFormat="1" applyFont="1" applyFill="1" applyBorder="1" applyAlignment="1">
      <alignment vertical="center" wrapText="1"/>
    </xf>
    <xf numFmtId="166" fontId="11" fillId="9" borderId="12" xfId="0" applyNumberFormat="1" applyFont="1" applyFill="1" applyBorder="1" applyAlignment="1">
      <alignment vertical="center" wrapText="1"/>
    </xf>
    <xf numFmtId="166" fontId="11" fillId="9" borderId="1" xfId="0" applyNumberFormat="1" applyFont="1" applyFill="1" applyBorder="1" applyAlignment="1">
      <alignment vertical="center" wrapText="1"/>
    </xf>
    <xf numFmtId="0" fontId="4" fillId="0" borderId="0" xfId="0" applyFont="1" applyFill="1" applyAlignment="1">
      <alignment horizontal="left" vertical="center"/>
    </xf>
    <xf numFmtId="165" fontId="11" fillId="11" borderId="11" xfId="0" applyNumberFormat="1" applyFont="1" applyFill="1" applyBorder="1" applyAlignment="1">
      <alignment vertical="center" wrapText="1"/>
    </xf>
    <xf numFmtId="166" fontId="11" fillId="11" borderId="12" xfId="0" applyNumberFormat="1" applyFont="1" applyFill="1" applyBorder="1" applyAlignment="1">
      <alignment vertical="center" wrapText="1"/>
    </xf>
    <xf numFmtId="166" fontId="11" fillId="11" borderId="11" xfId="0" applyNumberFormat="1" applyFont="1" applyFill="1" applyBorder="1" applyAlignment="1">
      <alignment vertical="center" wrapText="1"/>
    </xf>
    <xf numFmtId="165" fontId="11" fillId="11" borderId="12" xfId="0" applyNumberFormat="1" applyFont="1" applyFill="1" applyBorder="1" applyAlignment="1">
      <alignment vertical="center" wrapText="1"/>
    </xf>
    <xf numFmtId="164" fontId="11" fillId="11" borderId="12" xfId="0" applyNumberFormat="1" applyFont="1" applyFill="1" applyBorder="1" applyAlignment="1">
      <alignment vertical="center" wrapText="1"/>
    </xf>
    <xf numFmtId="164" fontId="11" fillId="11" borderId="11" xfId="0" applyNumberFormat="1" applyFont="1" applyFill="1" applyBorder="1" applyAlignment="1">
      <alignment vertical="center" wrapText="1"/>
    </xf>
    <xf numFmtId="164" fontId="15" fillId="11" borderId="11" xfId="0" applyNumberFormat="1" applyFont="1" applyFill="1" applyBorder="1" applyAlignment="1">
      <alignment vertical="center" wrapText="1"/>
    </xf>
    <xf numFmtId="164" fontId="15" fillId="11" borderId="12" xfId="0" applyNumberFormat="1" applyFont="1" applyFill="1" applyBorder="1" applyAlignment="1">
      <alignment vertical="center" wrapText="1"/>
    </xf>
    <xf numFmtId="0" fontId="11" fillId="11" borderId="11" xfId="0" applyFont="1" applyFill="1" applyBorder="1" applyAlignment="1">
      <alignment vertical="center" wrapText="1"/>
    </xf>
    <xf numFmtId="3" fontId="11" fillId="11" borderId="11" xfId="0" applyNumberFormat="1" applyFont="1" applyFill="1" applyBorder="1" applyAlignment="1">
      <alignment vertical="center" wrapText="1"/>
    </xf>
    <xf numFmtId="166" fontId="11" fillId="11" borderId="1" xfId="0" applyNumberFormat="1" applyFont="1" applyFill="1" applyBorder="1" applyAlignment="1">
      <alignment vertical="center" wrapText="1"/>
    </xf>
    <xf numFmtId="3" fontId="11" fillId="11" borderId="1" xfId="0" applyNumberFormat="1" applyFont="1" applyFill="1" applyBorder="1" applyAlignment="1">
      <alignment vertical="center" wrapText="1"/>
    </xf>
    <xf numFmtId="164" fontId="11" fillId="11" borderId="1" xfId="0" applyNumberFormat="1" applyFont="1" applyFill="1" applyBorder="1" applyAlignment="1">
      <alignment vertical="center" wrapText="1"/>
    </xf>
    <xf numFmtId="164" fontId="11" fillId="11" borderId="26" xfId="0" applyNumberFormat="1" applyFont="1" applyFill="1" applyBorder="1" applyAlignment="1">
      <alignment vertical="center" wrapText="1"/>
    </xf>
    <xf numFmtId="165" fontId="11" fillId="11" borderId="26" xfId="0" applyNumberFormat="1" applyFont="1" applyFill="1" applyBorder="1" applyAlignment="1">
      <alignment vertical="center" wrapText="1"/>
    </xf>
    <xf numFmtId="165" fontId="11" fillId="11" borderId="1" xfId="0" applyNumberFormat="1" applyFont="1" applyFill="1" applyBorder="1" applyAlignment="1">
      <alignment vertical="center" wrapText="1"/>
    </xf>
    <xf numFmtId="164" fontId="10" fillId="12" borderId="25" xfId="0" applyNumberFormat="1" applyFont="1" applyFill="1" applyBorder="1" applyAlignment="1">
      <alignment vertical="center" wrapText="1"/>
    </xf>
    <xf numFmtId="0" fontId="0" fillId="0" borderId="0" xfId="0" applyAlignment="1">
      <alignment horizontal="center"/>
    </xf>
    <xf numFmtId="2" fontId="23" fillId="0" borderId="0" xfId="0" applyNumberFormat="1" applyFont="1" applyAlignment="1">
      <alignment horizontal="center"/>
    </xf>
    <xf numFmtId="0" fontId="24" fillId="0" borderId="0" xfId="0" applyNumberFormat="1" applyFont="1" applyAlignment="1">
      <alignment horizontal="center"/>
    </xf>
    <xf numFmtId="0" fontId="22" fillId="0" borderId="0" xfId="0" applyFont="1" applyAlignment="1">
      <alignment horizontal="center"/>
    </xf>
    <xf numFmtId="0" fontId="0" fillId="13" borderId="0" xfId="0" applyFill="1" applyAlignment="1">
      <alignment horizontal="center"/>
    </xf>
    <xf numFmtId="0" fontId="0" fillId="0" borderId="0" xfId="0" applyFont="1" applyAlignment="1">
      <alignment horizontal="center"/>
    </xf>
    <xf numFmtId="0" fontId="0" fillId="0" borderId="0" xfId="0" applyFont="1" applyAlignment="1">
      <alignment horizontal="left"/>
    </xf>
    <xf numFmtId="0" fontId="24" fillId="0" borderId="0" xfId="0" applyFont="1" applyAlignment="1">
      <alignment horizontal="left" vertical="center"/>
    </xf>
    <xf numFmtId="0" fontId="24" fillId="13" borderId="0" xfId="0" applyNumberFormat="1" applyFont="1" applyFill="1" applyAlignment="1">
      <alignment horizontal="center"/>
    </xf>
    <xf numFmtId="0" fontId="0" fillId="15" borderId="0" xfId="0" applyFill="1" applyAlignment="1">
      <alignment horizontal="center"/>
    </xf>
    <xf numFmtId="0" fontId="0" fillId="0" borderId="0" xfId="0" applyFill="1" applyAlignment="1">
      <alignment horizontal="center"/>
    </xf>
    <xf numFmtId="0" fontId="24" fillId="15" borderId="0" xfId="0" applyNumberFormat="1" applyFont="1" applyFill="1" applyAlignment="1">
      <alignment horizontal="center"/>
    </xf>
    <xf numFmtId="0" fontId="0" fillId="0" borderId="0" xfId="0" applyAlignment="1">
      <alignment horizontal="left"/>
    </xf>
    <xf numFmtId="0" fontId="24" fillId="14" borderId="0" xfId="0" applyNumberFormat="1" applyFont="1" applyFill="1" applyAlignment="1">
      <alignment horizontal="center"/>
    </xf>
    <xf numFmtId="0" fontId="0" fillId="14" borderId="0" xfId="0" applyFill="1" applyAlignment="1">
      <alignment horizontal="center"/>
    </xf>
    <xf numFmtId="0" fontId="10" fillId="0" borderId="0" xfId="0" applyFont="1" applyFill="1" applyAlignment="1">
      <alignment horizontal="left" vertical="center"/>
    </xf>
    <xf numFmtId="0" fontId="26" fillId="0" borderId="0" xfId="1" applyAlignment="1">
      <alignment horizontal="left"/>
    </xf>
    <xf numFmtId="0" fontId="0" fillId="13" borderId="0" xfId="0" applyFill="1"/>
    <xf numFmtId="0" fontId="0" fillId="15" borderId="0" xfId="0" applyFill="1"/>
    <xf numFmtId="0" fontId="0" fillId="14" borderId="0" xfId="0" applyFill="1"/>
    <xf numFmtId="0" fontId="28" fillId="0" borderId="0" xfId="0" applyFont="1"/>
    <xf numFmtId="0" fontId="28" fillId="0" borderId="0" xfId="0" applyFont="1" applyAlignment="1">
      <alignment vertical="center"/>
    </xf>
    <xf numFmtId="0" fontId="28" fillId="0" borderId="0" xfId="0" applyFont="1" applyAlignment="1">
      <alignment horizontal="left"/>
    </xf>
    <xf numFmtId="0" fontId="13" fillId="10" borderId="19" xfId="0" applyFont="1" applyFill="1" applyBorder="1" applyAlignment="1">
      <alignment horizontal="center" vertical="center" wrapText="1"/>
    </xf>
    <xf numFmtId="164" fontId="10" fillId="9" borderId="30" xfId="0" applyNumberFormat="1" applyFont="1" applyFill="1" applyBorder="1" applyAlignment="1">
      <alignment vertical="center" wrapText="1"/>
    </xf>
    <xf numFmtId="165" fontId="10" fillId="9" borderId="30" xfId="0" applyNumberFormat="1" applyFont="1" applyFill="1" applyBorder="1" applyAlignment="1">
      <alignment vertical="center" wrapText="1"/>
    </xf>
    <xf numFmtId="164" fontId="10" fillId="4" borderId="30" xfId="0" applyNumberFormat="1" applyFont="1" applyFill="1" applyBorder="1" applyAlignment="1">
      <alignment vertical="center" wrapText="1"/>
    </xf>
    <xf numFmtId="0" fontId="11" fillId="4" borderId="11" xfId="0" applyFont="1" applyFill="1" applyBorder="1" applyAlignment="1">
      <alignment vertical="center" wrapText="1"/>
    </xf>
    <xf numFmtId="164" fontId="10" fillId="9" borderId="11" xfId="0" applyNumberFormat="1" applyFont="1" applyFill="1" applyBorder="1" applyAlignment="1">
      <alignment vertical="center" wrapText="1"/>
    </xf>
    <xf numFmtId="165" fontId="10" fillId="9" borderId="11" xfId="0" applyNumberFormat="1" applyFont="1" applyFill="1" applyBorder="1" applyAlignment="1">
      <alignment vertical="center" wrapText="1"/>
    </xf>
    <xf numFmtId="164" fontId="10" fillId="4" borderId="11" xfId="0" applyNumberFormat="1" applyFont="1" applyFill="1" applyBorder="1" applyAlignment="1">
      <alignment vertical="center" wrapText="1"/>
    </xf>
    <xf numFmtId="0" fontId="12" fillId="10" borderId="38" xfId="0" applyFont="1" applyFill="1" applyBorder="1" applyAlignment="1">
      <alignment horizontal="center" vertical="center" wrapText="1"/>
    </xf>
    <xf numFmtId="0" fontId="12" fillId="10" borderId="35" xfId="0" applyFont="1" applyFill="1" applyBorder="1" applyAlignment="1">
      <alignment horizontal="center" vertical="center" wrapText="1"/>
    </xf>
    <xf numFmtId="0" fontId="0" fillId="0" borderId="0" xfId="0" applyFill="1"/>
    <xf numFmtId="164" fontId="10" fillId="4" borderId="43" xfId="0" applyNumberFormat="1" applyFont="1" applyFill="1" applyBorder="1" applyAlignment="1">
      <alignment vertical="center" wrapText="1"/>
    </xf>
    <xf numFmtId="0" fontId="10" fillId="4" borderId="42" xfId="0" applyFont="1" applyFill="1" applyBorder="1" applyAlignment="1">
      <alignment vertical="center" wrapText="1"/>
    </xf>
    <xf numFmtId="0" fontId="11" fillId="4" borderId="42" xfId="0" applyFont="1" applyFill="1" applyBorder="1" applyAlignment="1">
      <alignment vertical="center" wrapText="1"/>
    </xf>
    <xf numFmtId="0" fontId="12" fillId="4" borderId="39" xfId="0" applyFont="1" applyFill="1" applyBorder="1" applyAlignment="1">
      <alignment horizontal="center" vertical="center" wrapText="1"/>
    </xf>
    <xf numFmtId="0" fontId="13" fillId="4" borderId="40" xfId="0" applyFont="1" applyFill="1" applyBorder="1" applyAlignment="1">
      <alignment horizontal="center" vertical="center" wrapText="1"/>
    </xf>
    <xf numFmtId="164" fontId="11" fillId="4" borderId="42" xfId="0" applyNumberFormat="1" applyFont="1" applyFill="1" applyBorder="1" applyAlignment="1">
      <alignment vertical="center" wrapText="1"/>
    </xf>
    <xf numFmtId="3" fontId="11" fillId="4" borderId="42" xfId="0" applyNumberFormat="1" applyFont="1" applyFill="1" applyBorder="1" applyAlignment="1">
      <alignment vertical="center" wrapText="1"/>
    </xf>
    <xf numFmtId="166" fontId="11" fillId="4" borderId="42" xfId="0" applyNumberFormat="1" applyFont="1" applyFill="1" applyBorder="1" applyAlignment="1">
      <alignment vertical="center" wrapText="1"/>
    </xf>
    <xf numFmtId="3" fontId="10" fillId="4" borderId="42" xfId="0" applyNumberFormat="1" applyFont="1" applyFill="1" applyBorder="1" applyAlignment="1">
      <alignment vertical="center" wrapText="1"/>
    </xf>
    <xf numFmtId="164" fontId="10" fillId="4" borderId="42" xfId="0" applyNumberFormat="1" applyFont="1" applyFill="1" applyBorder="1" applyAlignment="1">
      <alignment vertical="center" wrapText="1"/>
    </xf>
    <xf numFmtId="165" fontId="11" fillId="4" borderId="42" xfId="0" applyNumberFormat="1" applyFont="1" applyFill="1" applyBorder="1" applyAlignment="1">
      <alignment vertical="center" wrapText="1"/>
    </xf>
    <xf numFmtId="165" fontId="10" fillId="4" borderId="42" xfId="0" applyNumberFormat="1" applyFont="1" applyFill="1" applyBorder="1" applyAlignment="1">
      <alignment vertical="center" wrapText="1"/>
    </xf>
    <xf numFmtId="165" fontId="10" fillId="4" borderId="40" xfId="0" applyNumberFormat="1" applyFont="1" applyFill="1" applyBorder="1" applyAlignment="1">
      <alignment vertical="center" wrapText="1"/>
    </xf>
    <xf numFmtId="9" fontId="0" fillId="0" borderId="0" xfId="0" applyNumberFormat="1"/>
    <xf numFmtId="9" fontId="25" fillId="0" borderId="0" xfId="0" applyNumberFormat="1" applyFont="1" applyAlignment="1">
      <alignment horizontal="center"/>
    </xf>
    <xf numFmtId="9" fontId="23" fillId="0" borderId="0" xfId="0" applyNumberFormat="1" applyFont="1" applyAlignment="1">
      <alignment horizontal="center"/>
    </xf>
    <xf numFmtId="9" fontId="23" fillId="15" borderId="0" xfId="0" applyNumberFormat="1" applyFont="1" applyFill="1" applyAlignment="1">
      <alignment horizontal="center"/>
    </xf>
    <xf numFmtId="9" fontId="23" fillId="13" borderId="0" xfId="0" applyNumberFormat="1" applyFont="1" applyFill="1" applyAlignment="1">
      <alignment horizontal="center"/>
    </xf>
    <xf numFmtId="9" fontId="23" fillId="14" borderId="0" xfId="0" applyNumberFormat="1" applyFont="1" applyFill="1" applyAlignment="1">
      <alignment horizontal="center"/>
    </xf>
    <xf numFmtId="9" fontId="5" fillId="0" borderId="0" xfId="0" applyNumberFormat="1" applyFont="1" applyAlignment="1">
      <alignment vertical="center"/>
    </xf>
    <xf numFmtId="9" fontId="34" fillId="0" borderId="0" xfId="0" applyNumberFormat="1" applyFont="1"/>
    <xf numFmtId="9" fontId="34" fillId="0" borderId="0" xfId="0" applyNumberFormat="1" applyFont="1" applyAlignment="1">
      <alignment horizontal="center"/>
    </xf>
    <xf numFmtId="9" fontId="35" fillId="0" borderId="0" xfId="0" applyNumberFormat="1" applyFont="1" applyAlignment="1">
      <alignment vertical="center"/>
    </xf>
    <xf numFmtId="9" fontId="11" fillId="4" borderId="42" xfId="0" applyNumberFormat="1" applyFont="1" applyFill="1" applyBorder="1" applyAlignment="1">
      <alignment vertical="center" wrapText="1"/>
    </xf>
    <xf numFmtId="3" fontId="10" fillId="9" borderId="1" xfId="0" applyNumberFormat="1" applyFont="1" applyFill="1" applyBorder="1" applyAlignment="1">
      <alignment vertical="center" wrapText="1"/>
    </xf>
    <xf numFmtId="3" fontId="10" fillId="9" borderId="30" xfId="0" applyNumberFormat="1" applyFont="1" applyFill="1" applyBorder="1" applyAlignment="1">
      <alignment vertical="center" wrapText="1"/>
    </xf>
    <xf numFmtId="1" fontId="10" fillId="8" borderId="23" xfId="0" applyNumberFormat="1" applyFont="1" applyFill="1" applyBorder="1" applyAlignment="1">
      <alignment vertical="center" wrapText="1"/>
    </xf>
    <xf numFmtId="166" fontId="11" fillId="0" borderId="11" xfId="0" applyNumberFormat="1" applyFont="1" applyFill="1" applyBorder="1" applyAlignment="1">
      <alignment vertical="center" wrapText="1"/>
    </xf>
    <xf numFmtId="164" fontId="11" fillId="5" borderId="1" xfId="0" applyNumberFormat="1" applyFont="1" applyFill="1" applyBorder="1" applyAlignment="1">
      <alignment vertical="center" wrapText="1"/>
    </xf>
    <xf numFmtId="0" fontId="15" fillId="5" borderId="23" xfId="0" applyFont="1" applyFill="1" applyBorder="1" applyAlignment="1">
      <alignment vertical="center" wrapText="1"/>
    </xf>
    <xf numFmtId="3" fontId="10" fillId="9" borderId="11" xfId="0" applyNumberFormat="1" applyFont="1" applyFill="1" applyBorder="1" applyAlignment="1">
      <alignment vertical="center" wrapText="1"/>
    </xf>
    <xf numFmtId="3" fontId="10" fillId="9" borderId="12" xfId="0" applyNumberFormat="1" applyFont="1" applyFill="1" applyBorder="1" applyAlignment="1">
      <alignment vertical="center" wrapText="1"/>
    </xf>
    <xf numFmtId="20" fontId="11" fillId="0" borderId="0" xfId="0" applyNumberFormat="1" applyFont="1" applyFill="1" applyAlignment="1">
      <alignment vertical="center"/>
    </xf>
    <xf numFmtId="0" fontId="36" fillId="0" borderId="0" xfId="0" applyFont="1" applyFill="1" applyAlignment="1">
      <alignment vertical="center"/>
    </xf>
    <xf numFmtId="20" fontId="11" fillId="0" borderId="0" xfId="0" applyNumberFormat="1" applyFont="1" applyAlignment="1">
      <alignment vertical="center"/>
    </xf>
    <xf numFmtId="0" fontId="10" fillId="9" borderId="11" xfId="0" applyFont="1" applyFill="1" applyBorder="1" applyAlignment="1">
      <alignment vertical="center" wrapText="1"/>
    </xf>
    <xf numFmtId="0" fontId="10" fillId="9" borderId="12" xfId="0" applyFont="1" applyFill="1" applyBorder="1" applyAlignment="1">
      <alignment vertical="center" wrapText="1"/>
    </xf>
    <xf numFmtId="1" fontId="10" fillId="9" borderId="11" xfId="0" applyNumberFormat="1" applyFont="1" applyFill="1" applyBorder="1" applyAlignment="1">
      <alignment vertical="center" wrapText="1"/>
    </xf>
    <xf numFmtId="1" fontId="10" fillId="9" borderId="12" xfId="0" applyNumberFormat="1" applyFont="1" applyFill="1" applyBorder="1" applyAlignment="1">
      <alignment vertical="center" wrapText="1"/>
    </xf>
    <xf numFmtId="0" fontId="10" fillId="8" borderId="29" xfId="0" applyFont="1" applyFill="1" applyBorder="1" applyAlignment="1">
      <alignment wrapText="1"/>
    </xf>
    <xf numFmtId="0" fontId="10" fillId="9" borderId="29" xfId="0" applyFont="1" applyFill="1" applyBorder="1" applyAlignment="1">
      <alignment wrapText="1"/>
    </xf>
    <xf numFmtId="0" fontId="10" fillId="9" borderId="46" xfId="0" applyFont="1" applyFill="1" applyBorder="1" applyAlignment="1">
      <alignment wrapText="1"/>
    </xf>
    <xf numFmtId="0" fontId="10" fillId="4" borderId="47" xfId="0" applyFont="1" applyFill="1" applyBorder="1" applyAlignment="1">
      <alignment wrapText="1"/>
    </xf>
    <xf numFmtId="2" fontId="11" fillId="8" borderId="44" xfId="0" applyNumberFormat="1" applyFont="1" applyFill="1" applyBorder="1" applyAlignment="1">
      <alignment vertical="center" wrapText="1"/>
    </xf>
    <xf numFmtId="166" fontId="11" fillId="0" borderId="45" xfId="0" applyNumberFormat="1" applyFont="1" applyFill="1" applyBorder="1" applyAlignment="1">
      <alignment vertical="center" wrapText="1"/>
    </xf>
    <xf numFmtId="166" fontId="11" fillId="11" borderId="29" xfId="0" applyNumberFormat="1" applyFont="1" applyFill="1" applyBorder="1" applyAlignment="1">
      <alignment vertical="center" wrapText="1"/>
    </xf>
    <xf numFmtId="166" fontId="11" fillId="8" borderId="29" xfId="0" applyNumberFormat="1" applyFont="1" applyFill="1" applyBorder="1" applyAlignment="1">
      <alignment vertical="center" wrapText="1"/>
    </xf>
    <xf numFmtId="166" fontId="11" fillId="9" borderId="29" xfId="0" applyNumberFormat="1" applyFont="1" applyFill="1" applyBorder="1" applyAlignment="1">
      <alignment vertical="center" wrapText="1"/>
    </xf>
    <xf numFmtId="166" fontId="11" fillId="9" borderId="46" xfId="0" applyNumberFormat="1" applyFont="1" applyFill="1" applyBorder="1" applyAlignment="1">
      <alignment vertical="center" wrapText="1"/>
    </xf>
    <xf numFmtId="166" fontId="11" fillId="4" borderId="47" xfId="0" applyNumberFormat="1" applyFont="1" applyFill="1" applyBorder="1" applyAlignment="1">
      <alignment vertical="center" wrapText="1"/>
    </xf>
    <xf numFmtId="166" fontId="11" fillId="8" borderId="13" xfId="0" applyNumberFormat="1" applyFont="1" applyFill="1" applyBorder="1" applyAlignment="1">
      <alignment vertical="center" wrapText="1"/>
    </xf>
    <xf numFmtId="166" fontId="11" fillId="9" borderId="13" xfId="0" applyNumberFormat="1" applyFont="1" applyFill="1" applyBorder="1" applyAlignment="1">
      <alignment vertical="center" wrapText="1"/>
    </xf>
    <xf numFmtId="166" fontId="11" fillId="9" borderId="14" xfId="0" applyNumberFormat="1" applyFont="1" applyFill="1" applyBorder="1" applyAlignment="1">
      <alignment vertical="center" wrapText="1"/>
    </xf>
    <xf numFmtId="166" fontId="11" fillId="4" borderId="49" xfId="0" applyNumberFormat="1" applyFont="1" applyFill="1" applyBorder="1" applyAlignment="1">
      <alignment vertical="center" wrapText="1"/>
    </xf>
    <xf numFmtId="166" fontId="31" fillId="9" borderId="1" xfId="0" applyNumberFormat="1" applyFont="1" applyFill="1" applyBorder="1" applyAlignment="1">
      <alignment vertical="center" wrapText="1"/>
    </xf>
    <xf numFmtId="166" fontId="17" fillId="9" borderId="12" xfId="0" applyNumberFormat="1" applyFont="1" applyFill="1" applyBorder="1" applyAlignment="1">
      <alignment vertical="center" wrapText="1"/>
    </xf>
    <xf numFmtId="166" fontId="31" fillId="11" borderId="26" xfId="0" applyNumberFormat="1" applyFont="1" applyFill="1" applyBorder="1" applyAlignment="1">
      <alignment vertical="center" wrapText="1"/>
    </xf>
    <xf numFmtId="166" fontId="31" fillId="11" borderId="1" xfId="0" applyNumberFormat="1" applyFont="1" applyFill="1" applyBorder="1" applyAlignment="1">
      <alignment vertical="center" wrapText="1"/>
    </xf>
    <xf numFmtId="166" fontId="31" fillId="8" borderId="1" xfId="0" applyNumberFormat="1" applyFont="1" applyFill="1" applyBorder="1" applyAlignment="1">
      <alignment vertical="center" wrapText="1"/>
    </xf>
    <xf numFmtId="166" fontId="31" fillId="4" borderId="42" xfId="0" applyNumberFormat="1" applyFont="1" applyFill="1" applyBorder="1" applyAlignment="1">
      <alignment vertical="center" wrapText="1"/>
    </xf>
    <xf numFmtId="0" fontId="10" fillId="8" borderId="45" xfId="0" applyFont="1" applyFill="1" applyBorder="1" applyAlignment="1">
      <alignment wrapText="1"/>
    </xf>
    <xf numFmtId="3" fontId="11" fillId="8" borderId="11" xfId="0" applyNumberFormat="1" applyFont="1" applyFill="1" applyBorder="1" applyAlignment="1">
      <alignment vertical="center" wrapText="1"/>
    </xf>
    <xf numFmtId="0" fontId="10" fillId="8" borderId="24" xfId="0" applyFont="1" applyFill="1" applyBorder="1" applyAlignment="1">
      <alignment vertical="center" wrapText="1"/>
    </xf>
    <xf numFmtId="3" fontId="11" fillId="0" borderId="50" xfId="0" applyNumberFormat="1" applyFont="1" applyFill="1" applyBorder="1" applyAlignment="1">
      <alignment vertical="center" wrapText="1"/>
    </xf>
    <xf numFmtId="3" fontId="11" fillId="0" borderId="52" xfId="0" applyNumberFormat="1" applyFont="1" applyFill="1" applyBorder="1" applyAlignment="1">
      <alignment vertical="center" wrapText="1"/>
    </xf>
    <xf numFmtId="3" fontId="39" fillId="8" borderId="50" xfId="0" applyNumberFormat="1" applyFont="1" applyFill="1" applyBorder="1" applyAlignment="1">
      <alignment vertical="center" wrapText="1"/>
    </xf>
    <xf numFmtId="3" fontId="39" fillId="8" borderId="3" xfId="0" applyNumberFormat="1" applyFont="1" applyFill="1" applyBorder="1" applyAlignment="1">
      <alignment vertical="center" wrapText="1"/>
    </xf>
    <xf numFmtId="3" fontId="39" fillId="9" borderId="3" xfId="0" applyNumberFormat="1" applyFont="1" applyFill="1" applyBorder="1" applyAlignment="1">
      <alignment vertical="center" wrapText="1"/>
    </xf>
    <xf numFmtId="3" fontId="39" fillId="9" borderId="52" xfId="0" applyNumberFormat="1" applyFont="1" applyFill="1" applyBorder="1" applyAlignment="1">
      <alignment vertical="center" wrapText="1"/>
    </xf>
    <xf numFmtId="3" fontId="39" fillId="4" borderId="43" xfId="0" applyNumberFormat="1" applyFont="1" applyFill="1" applyBorder="1" applyAlignment="1">
      <alignment vertical="center" wrapText="1"/>
    </xf>
    <xf numFmtId="2" fontId="10" fillId="8" borderId="22" xfId="0" applyNumberFormat="1" applyFont="1" applyFill="1" applyBorder="1" applyAlignment="1">
      <alignment vertical="center" wrapText="1"/>
    </xf>
    <xf numFmtId="3" fontId="11" fillId="0" borderId="33" xfId="0" applyNumberFormat="1" applyFont="1" applyFill="1" applyBorder="1" applyAlignment="1">
      <alignment vertical="center" wrapText="1"/>
    </xf>
    <xf numFmtId="3" fontId="11" fillId="0" borderId="10" xfId="0" applyNumberFormat="1" applyFont="1" applyFill="1" applyBorder="1" applyAlignment="1">
      <alignment vertical="center" wrapText="1"/>
    </xf>
    <xf numFmtId="166" fontId="39" fillId="8" borderId="4" xfId="0" applyNumberFormat="1" applyFont="1" applyFill="1" applyBorder="1" applyAlignment="1">
      <alignment vertical="center" wrapText="1"/>
    </xf>
    <xf numFmtId="166" fontId="39" fillId="8" borderId="2" xfId="0" applyNumberFormat="1" applyFont="1" applyFill="1" applyBorder="1" applyAlignment="1">
      <alignment vertical="center" wrapText="1"/>
    </xf>
    <xf numFmtId="166" fontId="39" fillId="9" borderId="2" xfId="0" applyNumberFormat="1" applyFont="1" applyFill="1" applyBorder="1" applyAlignment="1">
      <alignment vertical="center" wrapText="1"/>
    </xf>
    <xf numFmtId="166" fontId="39" fillId="4" borderId="41" xfId="0" applyNumberFormat="1" applyFont="1" applyFill="1" applyBorder="1" applyAlignment="1">
      <alignment vertical="center" wrapText="1"/>
    </xf>
    <xf numFmtId="166" fontId="11" fillId="0" borderId="28" xfId="0" applyNumberFormat="1" applyFont="1" applyFill="1" applyBorder="1" applyAlignment="1">
      <alignment vertical="center" wrapText="1"/>
    </xf>
    <xf numFmtId="166" fontId="11" fillId="11" borderId="13" xfId="0" applyNumberFormat="1" applyFont="1" applyFill="1" applyBorder="1" applyAlignment="1">
      <alignment vertical="center" wrapText="1"/>
    </xf>
    <xf numFmtId="0" fontId="10" fillId="17" borderId="6" xfId="0" applyFont="1" applyFill="1" applyBorder="1" applyAlignment="1">
      <alignment wrapText="1"/>
    </xf>
    <xf numFmtId="0" fontId="10" fillId="17" borderId="45" xfId="0" applyFont="1" applyFill="1" applyBorder="1" applyAlignment="1">
      <alignment wrapText="1"/>
    </xf>
    <xf numFmtId="0" fontId="10" fillId="17" borderId="29" xfId="0" applyFont="1" applyFill="1" applyBorder="1" applyAlignment="1">
      <alignment wrapText="1"/>
    </xf>
    <xf numFmtId="0" fontId="10" fillId="17" borderId="46" xfId="0" applyFont="1" applyFill="1" applyBorder="1" applyAlignment="1">
      <alignment wrapText="1"/>
    </xf>
    <xf numFmtId="3" fontId="11" fillId="17" borderId="11" xfId="0" applyNumberFormat="1" applyFont="1" applyFill="1" applyBorder="1" applyAlignment="1">
      <alignment vertical="center" wrapText="1"/>
    </xf>
    <xf numFmtId="3" fontId="11" fillId="17" borderId="1" xfId="0" applyNumberFormat="1" applyFont="1" applyFill="1" applyBorder="1" applyAlignment="1">
      <alignment vertical="center" wrapText="1"/>
    </xf>
    <xf numFmtId="3" fontId="11" fillId="17" borderId="12" xfId="0" applyNumberFormat="1" applyFont="1" applyFill="1" applyBorder="1" applyAlignment="1">
      <alignment vertical="center" wrapText="1"/>
    </xf>
    <xf numFmtId="3" fontId="39" fillId="17" borderId="51" xfId="0" applyNumberFormat="1" applyFont="1" applyFill="1" applyBorder="1" applyAlignment="1">
      <alignment vertical="center" wrapText="1"/>
    </xf>
    <xf numFmtId="3" fontId="39" fillId="17" borderId="50" xfId="0" applyNumberFormat="1" applyFont="1" applyFill="1" applyBorder="1" applyAlignment="1">
      <alignment vertical="center" wrapText="1"/>
    </xf>
    <xf numFmtId="3" fontId="39" fillId="17" borderId="3" xfId="0" applyNumberFormat="1" applyFont="1" applyFill="1" applyBorder="1" applyAlignment="1">
      <alignment vertical="center" wrapText="1"/>
    </xf>
    <xf numFmtId="3" fontId="39" fillId="17" borderId="52" xfId="0" applyNumberFormat="1" applyFont="1" applyFill="1" applyBorder="1" applyAlignment="1">
      <alignment vertical="center" wrapText="1"/>
    </xf>
    <xf numFmtId="166" fontId="11" fillId="17" borderId="45" xfId="0" applyNumberFormat="1" applyFont="1" applyFill="1" applyBorder="1" applyAlignment="1">
      <alignment vertical="center" wrapText="1"/>
    </xf>
    <xf numFmtId="166" fontId="11" fillId="17" borderId="29" xfId="0" applyNumberFormat="1" applyFont="1" applyFill="1" applyBorder="1" applyAlignment="1">
      <alignment vertical="center" wrapText="1"/>
    </xf>
    <xf numFmtId="166" fontId="11" fillId="17" borderId="46" xfId="0" applyNumberFormat="1" applyFont="1" applyFill="1" applyBorder="1" applyAlignment="1">
      <alignment vertical="center" wrapText="1"/>
    </xf>
    <xf numFmtId="166" fontId="11" fillId="17" borderId="11" xfId="0" applyNumberFormat="1" applyFont="1" applyFill="1" applyBorder="1" applyAlignment="1">
      <alignment vertical="center" wrapText="1"/>
    </xf>
    <xf numFmtId="166" fontId="11" fillId="17" borderId="1" xfId="0" applyNumberFormat="1" applyFont="1" applyFill="1" applyBorder="1" applyAlignment="1">
      <alignment vertical="center" wrapText="1"/>
    </xf>
    <xf numFmtId="166" fontId="11" fillId="17" borderId="12" xfId="0" applyNumberFormat="1" applyFont="1" applyFill="1" applyBorder="1" applyAlignment="1">
      <alignment vertical="center" wrapText="1"/>
    </xf>
    <xf numFmtId="166" fontId="11" fillId="17" borderId="28" xfId="0" applyNumberFormat="1" applyFont="1" applyFill="1" applyBorder="1" applyAlignment="1">
      <alignment vertical="center" wrapText="1"/>
    </xf>
    <xf numFmtId="166" fontId="11" fillId="17" borderId="13" xfId="0" applyNumberFormat="1" applyFont="1" applyFill="1" applyBorder="1" applyAlignment="1">
      <alignment vertical="center" wrapText="1"/>
    </xf>
    <xf numFmtId="166" fontId="11" fillId="17" borderId="14" xfId="0" applyNumberFormat="1" applyFont="1" applyFill="1" applyBorder="1" applyAlignment="1">
      <alignment vertical="center" wrapText="1"/>
    </xf>
    <xf numFmtId="166" fontId="39" fillId="17" borderId="33" xfId="0" applyNumberFormat="1" applyFont="1" applyFill="1" applyBorder="1" applyAlignment="1">
      <alignment vertical="center" wrapText="1"/>
    </xf>
    <xf numFmtId="166" fontId="39" fillId="17" borderId="2" xfId="0" applyNumberFormat="1" applyFont="1" applyFill="1" applyBorder="1" applyAlignment="1">
      <alignment vertical="center" wrapText="1"/>
    </xf>
    <xf numFmtId="166" fontId="39" fillId="17" borderId="10" xfId="0" applyNumberFormat="1" applyFont="1" applyFill="1" applyBorder="1" applyAlignment="1">
      <alignment vertical="center" wrapText="1"/>
    </xf>
    <xf numFmtId="166" fontId="31" fillId="17" borderId="30" xfId="0" applyNumberFormat="1" applyFont="1" applyFill="1" applyBorder="1" applyAlignment="1">
      <alignment vertical="center" wrapText="1"/>
    </xf>
    <xf numFmtId="166" fontId="31" fillId="17" borderId="11" xfId="0" applyNumberFormat="1" applyFont="1" applyFill="1" applyBorder="1" applyAlignment="1">
      <alignment vertical="center" wrapText="1"/>
    </xf>
    <xf numFmtId="166" fontId="31" fillId="17" borderId="1" xfId="0" applyNumberFormat="1" applyFont="1" applyFill="1" applyBorder="1" applyAlignment="1">
      <alignment vertical="center" wrapText="1"/>
    </xf>
    <xf numFmtId="166" fontId="31" fillId="17" borderId="12" xfId="0" applyNumberFormat="1" applyFont="1" applyFill="1" applyBorder="1" applyAlignment="1">
      <alignment vertical="center" wrapText="1"/>
    </xf>
    <xf numFmtId="164" fontId="10" fillId="17" borderId="30" xfId="0" applyNumberFormat="1" applyFont="1" applyFill="1" applyBorder="1" applyAlignment="1">
      <alignment vertical="center" wrapText="1"/>
    </xf>
    <xf numFmtId="164" fontId="10" fillId="17" borderId="11" xfId="0" applyNumberFormat="1" applyFont="1" applyFill="1" applyBorder="1" applyAlignment="1">
      <alignment vertical="center" wrapText="1"/>
    </xf>
    <xf numFmtId="164" fontId="10" fillId="17" borderId="1" xfId="0" applyNumberFormat="1" applyFont="1" applyFill="1" applyBorder="1" applyAlignment="1">
      <alignment vertical="center" wrapText="1"/>
    </xf>
    <xf numFmtId="164" fontId="10" fillId="17" borderId="12" xfId="0" applyNumberFormat="1" applyFont="1" applyFill="1" applyBorder="1" applyAlignment="1">
      <alignment vertical="center" wrapText="1"/>
    </xf>
    <xf numFmtId="165" fontId="10" fillId="17" borderId="30" xfId="0" applyNumberFormat="1" applyFont="1" applyFill="1" applyBorder="1" applyAlignment="1">
      <alignment vertical="center" wrapText="1"/>
    </xf>
    <xf numFmtId="164" fontId="11" fillId="17" borderId="11" xfId="0" applyNumberFormat="1" applyFont="1" applyFill="1" applyBorder="1" applyAlignment="1">
      <alignment vertical="center" wrapText="1"/>
    </xf>
    <xf numFmtId="164" fontId="11" fillId="17" borderId="1" xfId="0" applyNumberFormat="1" applyFont="1" applyFill="1" applyBorder="1" applyAlignment="1">
      <alignment vertical="center" wrapText="1"/>
    </xf>
    <xf numFmtId="164" fontId="11" fillId="17" borderId="12" xfId="0" applyNumberFormat="1" applyFont="1" applyFill="1" applyBorder="1" applyAlignment="1">
      <alignment vertical="center" wrapText="1"/>
    </xf>
    <xf numFmtId="165" fontId="11" fillId="17" borderId="11" xfId="0" applyNumberFormat="1" applyFont="1" applyFill="1" applyBorder="1" applyAlignment="1">
      <alignment vertical="center" wrapText="1"/>
    </xf>
    <xf numFmtId="165" fontId="11" fillId="17" borderId="1" xfId="0" applyNumberFormat="1" applyFont="1" applyFill="1" applyBorder="1" applyAlignment="1">
      <alignment vertical="center" wrapText="1"/>
    </xf>
    <xf numFmtId="165" fontId="11" fillId="17" borderId="12" xfId="0" applyNumberFormat="1" applyFont="1" applyFill="1" applyBorder="1" applyAlignment="1">
      <alignment vertical="center" wrapText="1"/>
    </xf>
    <xf numFmtId="165" fontId="10" fillId="17" borderId="11" xfId="0" applyNumberFormat="1" applyFont="1" applyFill="1" applyBorder="1" applyAlignment="1">
      <alignment vertical="center" wrapText="1"/>
    </xf>
    <xf numFmtId="165" fontId="10" fillId="17" borderId="1" xfId="0" applyNumberFormat="1" applyFont="1" applyFill="1" applyBorder="1" applyAlignment="1">
      <alignment vertical="center" wrapText="1"/>
    </xf>
    <xf numFmtId="165" fontId="10" fillId="17" borderId="12" xfId="0" applyNumberFormat="1" applyFont="1" applyFill="1" applyBorder="1" applyAlignment="1">
      <alignment vertical="center" wrapText="1"/>
    </xf>
    <xf numFmtId="0" fontId="10" fillId="17" borderId="33" xfId="0" applyFont="1" applyFill="1" applyBorder="1" applyAlignment="1">
      <alignment wrapText="1"/>
    </xf>
    <xf numFmtId="0" fontId="10" fillId="17" borderId="34" xfId="0" applyFont="1" applyFill="1" applyBorder="1" applyAlignment="1">
      <alignment wrapText="1"/>
    </xf>
    <xf numFmtId="0" fontId="10" fillId="17" borderId="10" xfId="0" applyFont="1" applyFill="1" applyBorder="1" applyAlignment="1">
      <alignment wrapText="1"/>
    </xf>
    <xf numFmtId="166" fontId="11" fillId="17" borderId="11" xfId="0" applyNumberFormat="1" applyFont="1" applyFill="1" applyBorder="1" applyAlignment="1">
      <alignment horizontal="right" vertical="center" wrapText="1"/>
    </xf>
    <xf numFmtId="165" fontId="11" fillId="17" borderId="30" xfId="0" applyNumberFormat="1" applyFont="1" applyFill="1" applyBorder="1" applyAlignment="1">
      <alignment horizontal="right" vertical="center" wrapText="1"/>
    </xf>
    <xf numFmtId="0" fontId="11" fillId="17" borderId="11" xfId="0" applyFont="1" applyFill="1" applyBorder="1" applyAlignment="1">
      <alignment vertical="center" wrapText="1"/>
    </xf>
    <xf numFmtId="166" fontId="11" fillId="17" borderId="30" xfId="0" applyNumberFormat="1" applyFont="1" applyFill="1" applyBorder="1" applyAlignment="1">
      <alignment vertical="center" wrapText="1"/>
    </xf>
    <xf numFmtId="3" fontId="11" fillId="17" borderId="50" xfId="0" applyNumberFormat="1" applyFont="1" applyFill="1" applyBorder="1" applyAlignment="1">
      <alignment vertical="center" wrapText="1"/>
    </xf>
    <xf numFmtId="3" fontId="11" fillId="17" borderId="51" xfId="0" applyNumberFormat="1" applyFont="1" applyFill="1" applyBorder="1" applyAlignment="1">
      <alignment vertical="center" wrapText="1"/>
    </xf>
    <xf numFmtId="166" fontId="11" fillId="17" borderId="6" xfId="0" applyNumberFormat="1" applyFont="1" applyFill="1" applyBorder="1" applyAlignment="1">
      <alignment vertical="center" wrapText="1"/>
    </xf>
    <xf numFmtId="166" fontId="11" fillId="17" borderId="31" xfId="0" applyNumberFormat="1" applyFont="1" applyFill="1" applyBorder="1" applyAlignment="1">
      <alignment vertical="center" wrapText="1"/>
    </xf>
    <xf numFmtId="3" fontId="11" fillId="17" borderId="33" xfId="0" applyNumberFormat="1" applyFont="1" applyFill="1" applyBorder="1" applyAlignment="1">
      <alignment vertical="center" wrapText="1"/>
    </xf>
    <xf numFmtId="3" fontId="11" fillId="17" borderId="34" xfId="0" applyNumberFormat="1" applyFont="1" applyFill="1" applyBorder="1" applyAlignment="1">
      <alignment vertical="center" wrapText="1"/>
    </xf>
    <xf numFmtId="1" fontId="10" fillId="17" borderId="11" xfId="0" applyNumberFormat="1" applyFont="1" applyFill="1" applyBorder="1" applyAlignment="1">
      <alignment vertical="center" wrapText="1"/>
    </xf>
    <xf numFmtId="1" fontId="10" fillId="17" borderId="12" xfId="0" applyNumberFormat="1" applyFont="1" applyFill="1" applyBorder="1" applyAlignment="1">
      <alignment vertical="center" wrapText="1"/>
    </xf>
    <xf numFmtId="0" fontId="10" fillId="17" borderId="11" xfId="0" applyFont="1" applyFill="1" applyBorder="1" applyAlignment="1">
      <alignment vertical="center" wrapText="1"/>
    </xf>
    <xf numFmtId="0" fontId="10" fillId="17" borderId="12" xfId="0" applyFont="1" applyFill="1" applyBorder="1" applyAlignment="1">
      <alignment vertical="center" wrapText="1"/>
    </xf>
    <xf numFmtId="164" fontId="11" fillId="17" borderId="30" xfId="0" applyNumberFormat="1" applyFont="1" applyFill="1" applyBorder="1" applyAlignment="1">
      <alignment vertical="center" wrapText="1"/>
    </xf>
    <xf numFmtId="165" fontId="11" fillId="17" borderId="30" xfId="0" applyNumberFormat="1" applyFont="1" applyFill="1" applyBorder="1" applyAlignment="1">
      <alignment vertical="center" wrapText="1"/>
    </xf>
    <xf numFmtId="164" fontId="15" fillId="17" borderId="11" xfId="0" applyNumberFormat="1" applyFont="1" applyFill="1" applyBorder="1" applyAlignment="1">
      <alignment vertical="center" wrapText="1"/>
    </xf>
    <xf numFmtId="164" fontId="15" fillId="17" borderId="30" xfId="0" applyNumberFormat="1" applyFont="1" applyFill="1" applyBorder="1" applyAlignment="1">
      <alignment vertical="center" wrapText="1"/>
    </xf>
    <xf numFmtId="165" fontId="10" fillId="9" borderId="31" xfId="0" applyNumberFormat="1" applyFont="1" applyFill="1" applyBorder="1" applyAlignment="1">
      <alignment vertical="center" wrapText="1"/>
    </xf>
    <xf numFmtId="165" fontId="10" fillId="9" borderId="28" xfId="0" applyNumberFormat="1" applyFont="1" applyFill="1" applyBorder="1" applyAlignment="1">
      <alignment vertical="center" wrapText="1"/>
    </xf>
    <xf numFmtId="165" fontId="10" fillId="9" borderId="14" xfId="0" applyNumberFormat="1" applyFont="1" applyFill="1" applyBorder="1" applyAlignment="1">
      <alignment vertical="center" wrapText="1"/>
    </xf>
    <xf numFmtId="164" fontId="10" fillId="9" borderId="28" xfId="0" applyNumberFormat="1" applyFont="1" applyFill="1" applyBorder="1" applyAlignment="1">
      <alignment vertical="center" wrapText="1"/>
    </xf>
    <xf numFmtId="164" fontId="10" fillId="9" borderId="31" xfId="0" applyNumberFormat="1" applyFont="1" applyFill="1" applyBorder="1" applyAlignment="1">
      <alignment vertical="center" wrapText="1"/>
    </xf>
    <xf numFmtId="164" fontId="10" fillId="9" borderId="14" xfId="0" applyNumberFormat="1" applyFont="1" applyFill="1" applyBorder="1" applyAlignment="1">
      <alignment vertical="center" wrapText="1"/>
    </xf>
    <xf numFmtId="166" fontId="38" fillId="9" borderId="10" xfId="0" applyNumberFormat="1" applyFont="1" applyFill="1" applyBorder="1" applyAlignment="1">
      <alignment vertical="center" wrapText="1"/>
    </xf>
    <xf numFmtId="3" fontId="11" fillId="17" borderId="30" xfId="0" applyNumberFormat="1" applyFont="1" applyFill="1" applyBorder="1" applyAlignment="1">
      <alignment vertical="center" wrapText="1"/>
    </xf>
    <xf numFmtId="0" fontId="11" fillId="17" borderId="29" xfId="0" applyFont="1" applyFill="1" applyBorder="1" applyAlignment="1">
      <alignment wrapText="1"/>
    </xf>
    <xf numFmtId="1" fontId="11" fillId="17" borderId="11" xfId="0" applyNumberFormat="1" applyFont="1" applyFill="1" applyBorder="1" applyAlignment="1">
      <alignment vertical="center" wrapText="1"/>
    </xf>
    <xf numFmtId="1" fontId="11" fillId="17" borderId="30" xfId="0" applyNumberFormat="1" applyFont="1" applyFill="1" applyBorder="1" applyAlignment="1">
      <alignment vertical="center" wrapText="1"/>
    </xf>
    <xf numFmtId="1" fontId="11" fillId="9" borderId="11" xfId="0" applyNumberFormat="1" applyFont="1" applyFill="1" applyBorder="1" applyAlignment="1">
      <alignment vertical="center" wrapText="1"/>
    </xf>
    <xf numFmtId="1" fontId="11" fillId="9" borderId="30" xfId="0" applyNumberFormat="1" applyFont="1" applyFill="1" applyBorder="1" applyAlignment="1">
      <alignment vertical="center" wrapText="1"/>
    </xf>
    <xf numFmtId="0" fontId="11" fillId="9" borderId="11" xfId="0" applyFont="1" applyFill="1" applyBorder="1" applyAlignment="1">
      <alignment vertical="center" wrapText="1"/>
    </xf>
    <xf numFmtId="0" fontId="11" fillId="9" borderId="30" xfId="0" applyFont="1" applyFill="1" applyBorder="1" applyAlignment="1">
      <alignment vertical="center" wrapText="1"/>
    </xf>
    <xf numFmtId="0" fontId="11" fillId="4" borderId="30" xfId="0" applyFont="1" applyFill="1" applyBorder="1" applyAlignment="1">
      <alignment vertical="center" wrapText="1"/>
    </xf>
    <xf numFmtId="0" fontId="11" fillId="17" borderId="30" xfId="0" applyFont="1" applyFill="1" applyBorder="1" applyAlignment="1">
      <alignment vertical="center" wrapText="1"/>
    </xf>
    <xf numFmtId="0" fontId="0" fillId="0" borderId="53" xfId="0" applyBorder="1" applyAlignment="1">
      <alignment horizontal="center"/>
    </xf>
    <xf numFmtId="9" fontId="34" fillId="0" borderId="54" xfId="0" applyNumberFormat="1" applyFont="1" applyBorder="1" applyAlignment="1">
      <alignment horizontal="center"/>
    </xf>
    <xf numFmtId="9" fontId="34" fillId="0" borderId="36" xfId="0" applyNumberFormat="1" applyFont="1" applyBorder="1" applyAlignment="1">
      <alignment horizontal="center"/>
    </xf>
    <xf numFmtId="9" fontId="23" fillId="0" borderId="54" xfId="0" applyNumberFormat="1" applyFont="1" applyBorder="1" applyAlignment="1">
      <alignment horizontal="center"/>
    </xf>
    <xf numFmtId="0" fontId="0" fillId="13" borderId="53" xfId="0" applyFill="1" applyBorder="1" applyAlignment="1">
      <alignment horizontal="center"/>
    </xf>
    <xf numFmtId="0" fontId="22" fillId="14" borderId="53" xfId="0" applyFont="1" applyFill="1" applyBorder="1" applyAlignment="1">
      <alignment horizontal="center"/>
    </xf>
    <xf numFmtId="0" fontId="0" fillId="0" borderId="53" xfId="0" applyFill="1" applyBorder="1" applyAlignment="1">
      <alignment horizontal="center"/>
    </xf>
    <xf numFmtId="0" fontId="0" fillId="15" borderId="53" xfId="0" applyFill="1" applyBorder="1" applyAlignment="1">
      <alignment horizontal="center"/>
    </xf>
    <xf numFmtId="0" fontId="28" fillId="0" borderId="53" xfId="0" applyFont="1" applyBorder="1" applyAlignment="1">
      <alignment horizontal="center"/>
    </xf>
    <xf numFmtId="0" fontId="28" fillId="0" borderId="21" xfId="0" applyFont="1" applyBorder="1" applyAlignment="1">
      <alignment horizontal="center"/>
    </xf>
    <xf numFmtId="9" fontId="23" fillId="0" borderId="36" xfId="0" applyNumberFormat="1" applyFont="1" applyBorder="1" applyAlignment="1">
      <alignment horizontal="center"/>
    </xf>
    <xf numFmtId="0" fontId="24" fillId="0" borderId="53" xfId="0" applyNumberFormat="1" applyFont="1" applyBorder="1" applyAlignment="1">
      <alignment horizontal="center"/>
    </xf>
    <xf numFmtId="0" fontId="21" fillId="13" borderId="53" xfId="0" applyNumberFormat="1" applyFont="1" applyFill="1" applyBorder="1" applyAlignment="1">
      <alignment horizontal="center"/>
    </xf>
    <xf numFmtId="0" fontId="29" fillId="14" borderId="53" xfId="0" applyNumberFormat="1" applyFont="1" applyFill="1" applyBorder="1" applyAlignment="1">
      <alignment horizontal="center"/>
    </xf>
    <xf numFmtId="0" fontId="24" fillId="0" borderId="53" xfId="0" applyNumberFormat="1" applyFont="1" applyFill="1" applyBorder="1" applyAlignment="1">
      <alignment horizontal="center"/>
    </xf>
    <xf numFmtId="0" fontId="24" fillId="15" borderId="53" xfId="0" applyNumberFormat="1" applyFont="1" applyFill="1" applyBorder="1" applyAlignment="1">
      <alignment horizontal="center"/>
    </xf>
    <xf numFmtId="0" fontId="24" fillId="0" borderId="21" xfId="0" applyNumberFormat="1" applyFont="1" applyBorder="1" applyAlignment="1">
      <alignment horizontal="center"/>
    </xf>
    <xf numFmtId="0" fontId="29" fillId="14" borderId="53" xfId="0" applyFont="1" applyFill="1" applyBorder="1" applyAlignment="1">
      <alignment horizontal="center"/>
    </xf>
    <xf numFmtId="9" fontId="23" fillId="0" borderId="54" xfId="0" applyNumberFormat="1" applyFont="1" applyFill="1" applyBorder="1" applyAlignment="1">
      <alignment horizontal="center"/>
    </xf>
    <xf numFmtId="9" fontId="34" fillId="0" borderId="0" xfId="0" applyNumberFormat="1" applyFont="1" applyFill="1" applyAlignment="1">
      <alignment horizontal="center"/>
    </xf>
    <xf numFmtId="4" fontId="28" fillId="13" borderId="53" xfId="0" applyNumberFormat="1" applyFont="1" applyFill="1" applyBorder="1" applyAlignment="1">
      <alignment horizontal="center"/>
    </xf>
    <xf numFmtId="4" fontId="28" fillId="0" borderId="53" xfId="0" applyNumberFormat="1" applyFont="1" applyBorder="1" applyAlignment="1">
      <alignment horizontal="center"/>
    </xf>
    <xf numFmtId="4" fontId="27" fillId="16" borderId="53" xfId="0" applyNumberFormat="1" applyFont="1" applyFill="1" applyBorder="1" applyAlignment="1">
      <alignment horizontal="center"/>
    </xf>
    <xf numFmtId="4" fontId="28" fillId="0" borderId="53" xfId="0" applyNumberFormat="1" applyFont="1" applyFill="1" applyBorder="1" applyAlignment="1">
      <alignment horizontal="center"/>
    </xf>
    <xf numFmtId="4" fontId="28" fillId="0" borderId="21" xfId="0" applyNumberFormat="1" applyFont="1" applyFill="1" applyBorder="1" applyAlignment="1">
      <alignment horizontal="center"/>
    </xf>
    <xf numFmtId="0" fontId="27" fillId="14" borderId="53" xfId="0" applyFont="1" applyFill="1" applyBorder="1" applyAlignment="1">
      <alignment horizontal="center"/>
    </xf>
    <xf numFmtId="0" fontId="11" fillId="0" borderId="0" xfId="0" applyFont="1" applyFill="1" applyBorder="1" applyAlignment="1">
      <alignment vertical="center" wrapText="1"/>
    </xf>
    <xf numFmtId="0" fontId="18" fillId="0" borderId="0" xfId="0" applyFont="1" applyFill="1" applyBorder="1" applyAlignment="1">
      <alignment vertical="center" wrapText="1"/>
    </xf>
    <xf numFmtId="0" fontId="18" fillId="0" borderId="0" xfId="0" applyFont="1" applyFill="1" applyBorder="1" applyAlignment="1">
      <alignment vertical="center"/>
    </xf>
    <xf numFmtId="0" fontId="40" fillId="0" borderId="0" xfId="0" applyFont="1" applyFill="1" applyBorder="1" applyAlignment="1">
      <alignment vertical="center"/>
    </xf>
    <xf numFmtId="165" fontId="11" fillId="0" borderId="11" xfId="0" applyNumberFormat="1" applyFont="1" applyFill="1" applyBorder="1" applyAlignment="1">
      <alignment vertical="center" wrapText="1"/>
    </xf>
    <xf numFmtId="165" fontId="11" fillId="0" borderId="1" xfId="0" applyNumberFormat="1" applyFont="1" applyFill="1" applyBorder="1" applyAlignment="1">
      <alignment vertical="center" wrapText="1"/>
    </xf>
    <xf numFmtId="165" fontId="11" fillId="0" borderId="12" xfId="0" applyNumberFormat="1" applyFont="1" applyFill="1" applyBorder="1" applyAlignment="1">
      <alignment vertical="center" wrapText="1"/>
    </xf>
    <xf numFmtId="0" fontId="19" fillId="0" borderId="0" xfId="0" applyFont="1" applyFill="1" applyAlignment="1">
      <alignment horizontal="left" vertical="center"/>
    </xf>
    <xf numFmtId="0" fontId="11" fillId="0" borderId="0" xfId="1" applyFont="1" applyFill="1" applyAlignment="1">
      <alignment vertical="center"/>
    </xf>
    <xf numFmtId="164" fontId="11" fillId="0" borderId="1" xfId="0" applyNumberFormat="1" applyFont="1" applyFill="1" applyBorder="1" applyAlignment="1">
      <alignment vertical="center" wrapText="1"/>
    </xf>
    <xf numFmtId="0" fontId="21" fillId="14" borderId="53" xfId="0" applyNumberFormat="1" applyFont="1" applyFill="1" applyBorder="1" applyAlignment="1">
      <alignment horizontal="center"/>
    </xf>
    <xf numFmtId="165" fontId="31" fillId="5" borderId="1" xfId="0" applyNumberFormat="1" applyFont="1" applyFill="1" applyBorder="1" applyAlignment="1">
      <alignment vertical="center" wrapText="1"/>
    </xf>
    <xf numFmtId="165" fontId="31" fillId="17" borderId="11" xfId="0" applyNumberFormat="1" applyFont="1" applyFill="1" applyBorder="1" applyAlignment="1">
      <alignment vertical="center" wrapText="1"/>
    </xf>
    <xf numFmtId="0" fontId="31" fillId="17" borderId="11" xfId="0" applyFont="1" applyFill="1" applyBorder="1" applyAlignment="1">
      <alignment vertical="center" wrapText="1"/>
    </xf>
    <xf numFmtId="166" fontId="31" fillId="17" borderId="45" xfId="0" applyNumberFormat="1" applyFont="1" applyFill="1" applyBorder="1" applyAlignment="1">
      <alignment vertical="center" wrapText="1"/>
    </xf>
    <xf numFmtId="166" fontId="31" fillId="17" borderId="28" xfId="0" applyNumberFormat="1" applyFont="1" applyFill="1" applyBorder="1" applyAlignment="1">
      <alignment vertical="center" wrapText="1"/>
    </xf>
    <xf numFmtId="164" fontId="31" fillId="17" borderId="11" xfId="0" applyNumberFormat="1" applyFont="1" applyFill="1" applyBorder="1" applyAlignment="1">
      <alignment vertical="center" wrapText="1"/>
    </xf>
    <xf numFmtId="3" fontId="31" fillId="17" borderId="50" xfId="0" applyNumberFormat="1" applyFont="1" applyFill="1" applyBorder="1" applyAlignment="1">
      <alignment vertical="center" wrapText="1"/>
    </xf>
    <xf numFmtId="3" fontId="31" fillId="17" borderId="51" xfId="0" applyNumberFormat="1" applyFont="1" applyFill="1" applyBorder="1" applyAlignment="1">
      <alignment vertical="center" wrapText="1"/>
    </xf>
    <xf numFmtId="3" fontId="31" fillId="17" borderId="33" xfId="0" applyNumberFormat="1" applyFont="1" applyFill="1" applyBorder="1" applyAlignment="1">
      <alignment vertical="center" wrapText="1"/>
    </xf>
    <xf numFmtId="3" fontId="31" fillId="17" borderId="34" xfId="0" applyNumberFormat="1" applyFont="1" applyFill="1" applyBorder="1" applyAlignment="1">
      <alignment vertical="center" wrapText="1"/>
    </xf>
    <xf numFmtId="164" fontId="31" fillId="5" borderId="1" xfId="0" applyNumberFormat="1" applyFont="1" applyFill="1" applyBorder="1" applyAlignment="1">
      <alignment vertical="center" wrapText="1"/>
    </xf>
    <xf numFmtId="166" fontId="31" fillId="17" borderId="31" xfId="0" applyNumberFormat="1" applyFont="1" applyFill="1" applyBorder="1" applyAlignment="1">
      <alignment vertical="center" wrapText="1"/>
    </xf>
    <xf numFmtId="164" fontId="31" fillId="17" borderId="30" xfId="0" applyNumberFormat="1" applyFont="1" applyFill="1" applyBorder="1" applyAlignment="1">
      <alignment vertical="center" wrapText="1"/>
    </xf>
    <xf numFmtId="0" fontId="4" fillId="0" borderId="0" xfId="0" applyFont="1" applyAlignment="1">
      <alignment horizontal="center" vertical="center"/>
    </xf>
    <xf numFmtId="2" fontId="4" fillId="0" borderId="0" xfId="0" applyNumberFormat="1" applyFont="1" applyAlignment="1">
      <alignment horizontal="center" vertical="center"/>
    </xf>
    <xf numFmtId="0" fontId="5" fillId="0" borderId="0" xfId="0" applyFont="1" applyAlignment="1">
      <alignment horizontal="center" vertical="center"/>
    </xf>
    <xf numFmtId="166" fontId="11" fillId="15" borderId="12" xfId="0" applyNumberFormat="1" applyFont="1" applyFill="1" applyBorder="1" applyAlignment="1">
      <alignment vertical="center" wrapText="1"/>
    </xf>
    <xf numFmtId="164" fontId="11" fillId="15" borderId="11" xfId="0" applyNumberFormat="1" applyFont="1" applyFill="1" applyBorder="1" applyAlignment="1">
      <alignment vertical="center" wrapText="1"/>
    </xf>
    <xf numFmtId="0" fontId="27" fillId="0" borderId="0" xfId="0" applyFont="1" applyAlignment="1">
      <alignment vertical="center"/>
    </xf>
    <xf numFmtId="0" fontId="27" fillId="0" borderId="0" xfId="0" applyFont="1" applyFill="1" applyAlignment="1">
      <alignment horizontal="left" vertical="center"/>
    </xf>
    <xf numFmtId="0" fontId="42" fillId="0" borderId="0" xfId="0" applyFont="1" applyFill="1" applyAlignment="1">
      <alignment vertical="center"/>
    </xf>
    <xf numFmtId="0" fontId="27" fillId="0" borderId="0" xfId="0" applyFont="1" applyFill="1" applyBorder="1" applyAlignment="1">
      <alignment vertical="center" wrapText="1"/>
    </xf>
    <xf numFmtId="0" fontId="28" fillId="0" borderId="0" xfId="0" applyFont="1" applyFill="1" applyAlignment="1">
      <alignment horizontal="left" vertical="center"/>
    </xf>
    <xf numFmtId="0" fontId="30" fillId="0" borderId="0" xfId="0" applyFont="1" applyFill="1" applyAlignment="1">
      <alignment vertical="center"/>
    </xf>
    <xf numFmtId="0" fontId="28" fillId="0" borderId="0" xfId="0" applyFont="1" applyFill="1" applyAlignment="1">
      <alignment vertical="center"/>
    </xf>
    <xf numFmtId="0" fontId="28" fillId="0" borderId="0" xfId="0" applyFont="1" applyFill="1" applyBorder="1" applyAlignment="1">
      <alignment vertical="center"/>
    </xf>
    <xf numFmtId="0" fontId="27" fillId="0" borderId="0" xfId="0" applyFont="1" applyFill="1" applyAlignment="1">
      <alignment vertical="center"/>
    </xf>
    <xf numFmtId="0" fontId="27" fillId="0" borderId="0" xfId="0" applyFont="1" applyFill="1" applyBorder="1" applyAlignment="1">
      <alignment vertical="center"/>
    </xf>
    <xf numFmtId="0" fontId="28" fillId="0" borderId="0" xfId="1" applyFont="1" applyFill="1" applyAlignment="1">
      <alignment vertical="center"/>
    </xf>
    <xf numFmtId="0" fontId="28" fillId="0" borderId="0" xfId="0" applyFont="1" applyFill="1" applyBorder="1" applyAlignment="1">
      <alignment vertical="center" wrapText="1"/>
    </xf>
    <xf numFmtId="0" fontId="42" fillId="0" borderId="0" xfId="0" applyFont="1" applyFill="1" applyBorder="1" applyAlignment="1">
      <alignment vertical="center"/>
    </xf>
    <xf numFmtId="2" fontId="4" fillId="15" borderId="51" xfId="0" applyNumberFormat="1" applyFont="1" applyFill="1" applyBorder="1" applyAlignment="1">
      <alignment horizontal="center" vertical="center"/>
    </xf>
    <xf numFmtId="2" fontId="4" fillId="15" borderId="58" xfId="0" applyNumberFormat="1" applyFont="1" applyFill="1" applyBorder="1" applyAlignment="1">
      <alignment horizontal="center" vertical="center"/>
    </xf>
    <xf numFmtId="2" fontId="35" fillId="15" borderId="58" xfId="0" applyNumberFormat="1" applyFont="1" applyFill="1" applyBorder="1" applyAlignment="1">
      <alignment horizontal="center" vertical="center"/>
    </xf>
    <xf numFmtId="49" fontId="35" fillId="15" borderId="34" xfId="0" applyNumberFormat="1" applyFont="1" applyFill="1" applyBorder="1" applyAlignment="1">
      <alignment horizontal="center" vertical="center"/>
    </xf>
    <xf numFmtId="164" fontId="4" fillId="15" borderId="51" xfId="0" applyNumberFormat="1" applyFont="1" applyFill="1" applyBorder="1" applyAlignment="1">
      <alignment horizontal="center" vertical="center"/>
    </xf>
    <xf numFmtId="2" fontId="4" fillId="15" borderId="34" xfId="0" applyNumberFormat="1" applyFont="1" applyFill="1" applyBorder="1" applyAlignment="1">
      <alignment horizontal="center" vertical="center"/>
    </xf>
    <xf numFmtId="2" fontId="35" fillId="15" borderId="34" xfId="0" applyNumberFormat="1" applyFont="1" applyFill="1" applyBorder="1" applyAlignment="1">
      <alignment horizontal="center" vertical="center"/>
    </xf>
    <xf numFmtId="10" fontId="4" fillId="15" borderId="51" xfId="0" applyNumberFormat="1" applyFont="1" applyFill="1" applyBorder="1" applyAlignment="1">
      <alignment horizontal="center" vertical="center"/>
    </xf>
    <xf numFmtId="0" fontId="4" fillId="15" borderId="57" xfId="0" applyFont="1" applyFill="1" applyBorder="1" applyAlignment="1">
      <alignment vertical="center"/>
    </xf>
    <xf numFmtId="0" fontId="5" fillId="15" borderId="57" xfId="0" applyFont="1" applyFill="1" applyBorder="1" applyAlignment="1">
      <alignment vertical="center"/>
    </xf>
    <xf numFmtId="0" fontId="5" fillId="15" borderId="16" xfId="0" applyFont="1" applyFill="1" applyBorder="1" applyAlignment="1">
      <alignment vertical="center"/>
    </xf>
    <xf numFmtId="0" fontId="35" fillId="25" borderId="0" xfId="0" applyFont="1" applyFill="1" applyBorder="1" applyAlignment="1">
      <alignment vertical="center"/>
    </xf>
    <xf numFmtId="0" fontId="5" fillId="25" borderId="0" xfId="0" applyFont="1" applyFill="1" applyBorder="1" applyAlignment="1">
      <alignment vertical="center"/>
    </xf>
    <xf numFmtId="0" fontId="5" fillId="25" borderId="59" xfId="0" applyFont="1" applyFill="1" applyBorder="1" applyAlignment="1">
      <alignment vertical="center"/>
    </xf>
    <xf numFmtId="0" fontId="35" fillId="25" borderId="60" xfId="0" applyFont="1" applyFill="1" applyBorder="1" applyAlignment="1">
      <alignment vertical="center"/>
    </xf>
    <xf numFmtId="0" fontId="5" fillId="25" borderId="60" xfId="0" applyFont="1" applyFill="1" applyBorder="1" applyAlignment="1">
      <alignment vertical="center"/>
    </xf>
    <xf numFmtId="0" fontId="5" fillId="25" borderId="4" xfId="0" applyFont="1" applyFill="1" applyBorder="1" applyAlignment="1">
      <alignment vertical="center"/>
    </xf>
    <xf numFmtId="0" fontId="4" fillId="15" borderId="30" xfId="0" applyFont="1" applyFill="1" applyBorder="1" applyAlignment="1">
      <alignment vertical="center"/>
    </xf>
    <xf numFmtId="0" fontId="5" fillId="15" borderId="62" xfId="0" applyFont="1" applyFill="1" applyBorder="1" applyAlignment="1">
      <alignment vertical="center"/>
    </xf>
    <xf numFmtId="0" fontId="5" fillId="15" borderId="26" xfId="0" applyFont="1" applyFill="1" applyBorder="1" applyAlignment="1">
      <alignment vertical="center"/>
    </xf>
    <xf numFmtId="166" fontId="11" fillId="15" borderId="11" xfId="0" applyNumberFormat="1" applyFont="1" applyFill="1" applyBorder="1" applyAlignment="1">
      <alignment vertical="center" wrapText="1"/>
    </xf>
    <xf numFmtId="3" fontId="4" fillId="15" borderId="51" xfId="0" applyNumberFormat="1" applyFont="1" applyFill="1" applyBorder="1" applyAlignment="1">
      <alignment horizontal="center" vertical="center"/>
    </xf>
    <xf numFmtId="0" fontId="43" fillId="15" borderId="0" xfId="0" applyFont="1" applyFill="1" applyBorder="1" applyAlignment="1">
      <alignment vertical="center"/>
    </xf>
    <xf numFmtId="0" fontId="5" fillId="15" borderId="0" xfId="0" applyFont="1" applyFill="1" applyBorder="1" applyAlignment="1">
      <alignment vertical="center"/>
    </xf>
    <xf numFmtId="0" fontId="4" fillId="15" borderId="20" xfId="0" applyFont="1" applyFill="1" applyBorder="1" applyAlignment="1">
      <alignment horizontal="center" vertical="center"/>
    </xf>
    <xf numFmtId="0" fontId="4" fillId="15" borderId="61" xfId="0" applyFont="1" applyFill="1" applyBorder="1" applyAlignment="1">
      <alignment vertical="center"/>
    </xf>
    <xf numFmtId="0" fontId="5" fillId="15" borderId="61" xfId="0" applyFont="1" applyFill="1" applyBorder="1" applyAlignment="1">
      <alignment vertical="center"/>
    </xf>
    <xf numFmtId="0" fontId="5" fillId="15" borderId="35" xfId="0" applyFont="1" applyFill="1" applyBorder="1" applyAlignment="1">
      <alignment vertical="center"/>
    </xf>
    <xf numFmtId="0" fontId="4" fillId="15" borderId="53" xfId="0" applyFont="1" applyFill="1" applyBorder="1" applyAlignment="1">
      <alignment horizontal="center" vertical="center"/>
    </xf>
    <xf numFmtId="0" fontId="5" fillId="15" borderId="54" xfId="0" applyFont="1" applyFill="1" applyBorder="1" applyAlignment="1">
      <alignment vertical="center"/>
    </xf>
    <xf numFmtId="0" fontId="4" fillId="25" borderId="53" xfId="0" applyFont="1" applyFill="1" applyBorder="1" applyAlignment="1">
      <alignment horizontal="center" vertical="center"/>
    </xf>
    <xf numFmtId="0" fontId="5" fillId="25" borderId="54" xfId="0" applyFont="1" applyFill="1" applyBorder="1" applyAlignment="1">
      <alignment vertical="center"/>
    </xf>
    <xf numFmtId="0" fontId="4" fillId="25" borderId="21" xfId="0" applyFont="1" applyFill="1" applyBorder="1" applyAlignment="1">
      <alignment horizontal="center" vertical="center"/>
    </xf>
    <xf numFmtId="0" fontId="5" fillId="25" borderId="37" xfId="0" applyFont="1" applyFill="1" applyBorder="1" applyAlignment="1">
      <alignment vertical="center"/>
    </xf>
    <xf numFmtId="0" fontId="5" fillId="25" borderId="36" xfId="0" applyFont="1" applyFill="1" applyBorder="1" applyAlignment="1">
      <alignment vertical="center"/>
    </xf>
    <xf numFmtId="0" fontId="4" fillId="15" borderId="22" xfId="0" applyFont="1" applyFill="1" applyBorder="1" applyAlignment="1">
      <alignment horizontal="center" vertical="center"/>
    </xf>
    <xf numFmtId="0" fontId="43" fillId="15" borderId="60" xfId="0" applyFont="1" applyFill="1" applyBorder="1" applyAlignment="1">
      <alignment vertical="center"/>
    </xf>
    <xf numFmtId="0" fontId="5" fillId="15" borderId="60" xfId="0" applyFont="1" applyFill="1" applyBorder="1" applyAlignment="1">
      <alignment vertical="center"/>
    </xf>
    <xf numFmtId="0" fontId="5" fillId="15" borderId="63" xfId="0" applyFont="1" applyFill="1" applyBorder="1" applyAlignment="1">
      <alignment vertical="center"/>
    </xf>
    <xf numFmtId="9" fontId="34" fillId="13" borderId="0" xfId="0" applyNumberFormat="1" applyFont="1" applyFill="1" applyAlignment="1">
      <alignment horizontal="center"/>
    </xf>
    <xf numFmtId="9" fontId="34" fillId="14" borderId="0" xfId="0" applyNumberFormat="1" applyFont="1" applyFill="1" applyAlignment="1">
      <alignment horizontal="center"/>
    </xf>
    <xf numFmtId="9" fontId="34" fillId="15" borderId="0" xfId="0" applyNumberFormat="1" applyFont="1" applyFill="1" applyAlignment="1">
      <alignment horizontal="center"/>
    </xf>
    <xf numFmtId="0" fontId="28" fillId="0" borderId="55" xfId="0" applyFont="1" applyBorder="1" applyAlignment="1">
      <alignment horizontal="center"/>
    </xf>
    <xf numFmtId="0" fontId="28" fillId="0" borderId="40" xfId="0" applyFont="1" applyBorder="1" applyAlignment="1">
      <alignment horizontal="center"/>
    </xf>
    <xf numFmtId="9" fontId="34" fillId="0" borderId="35" xfId="0" applyNumberFormat="1" applyFont="1" applyBorder="1" applyAlignment="1">
      <alignment horizontal="center"/>
    </xf>
    <xf numFmtId="0" fontId="0" fillId="0" borderId="20" xfId="0" applyBorder="1" applyAlignment="1">
      <alignment horizontal="center"/>
    </xf>
    <xf numFmtId="166" fontId="31" fillId="17" borderId="2" xfId="0" applyNumberFormat="1" applyFont="1" applyFill="1" applyBorder="1" applyAlignment="1">
      <alignment vertical="center" wrapText="1"/>
    </xf>
    <xf numFmtId="166" fontId="11" fillId="0" borderId="6" xfId="0" applyNumberFormat="1" applyFont="1" applyFill="1" applyBorder="1" applyAlignment="1">
      <alignment vertical="center" wrapText="1"/>
    </xf>
    <xf numFmtId="166" fontId="11" fillId="0" borderId="30" xfId="0" applyNumberFormat="1" applyFont="1" applyFill="1" applyBorder="1" applyAlignment="1">
      <alignment vertical="center" wrapText="1"/>
    </xf>
    <xf numFmtId="166" fontId="11" fillId="0" borderId="31" xfId="0" applyNumberFormat="1" applyFont="1" applyFill="1" applyBorder="1" applyAlignment="1">
      <alignment vertical="center" wrapText="1"/>
    </xf>
    <xf numFmtId="166" fontId="11" fillId="4" borderId="64" xfId="0" applyNumberFormat="1" applyFont="1" applyFill="1" applyBorder="1" applyAlignment="1">
      <alignment vertical="center" wrapText="1"/>
    </xf>
    <xf numFmtId="166" fontId="11" fillId="4" borderId="56" xfId="0" applyNumberFormat="1" applyFont="1" applyFill="1" applyBorder="1" applyAlignment="1">
      <alignment vertical="center" wrapText="1"/>
    </xf>
    <xf numFmtId="166" fontId="11" fillId="4" borderId="65" xfId="0" applyNumberFormat="1" applyFont="1" applyFill="1" applyBorder="1" applyAlignment="1">
      <alignment vertical="center" wrapText="1"/>
    </xf>
    <xf numFmtId="166" fontId="11" fillId="11" borderId="45" xfId="0" applyNumberFormat="1" applyFont="1" applyFill="1" applyBorder="1" applyAlignment="1">
      <alignment vertical="center" wrapText="1"/>
    </xf>
    <xf numFmtId="166" fontId="11" fillId="11" borderId="28" xfId="0" applyNumberFormat="1" applyFont="1" applyFill="1" applyBorder="1" applyAlignment="1">
      <alignment vertical="center" wrapText="1"/>
    </xf>
    <xf numFmtId="166" fontId="39" fillId="17" borderId="46" xfId="0" applyNumberFormat="1" applyFont="1" applyFill="1" applyBorder="1" applyAlignment="1">
      <alignment vertical="center" wrapText="1"/>
    </xf>
    <xf numFmtId="166" fontId="39" fillId="17" borderId="29" xfId="0" applyNumberFormat="1" applyFont="1" applyFill="1" applyBorder="1" applyAlignment="1">
      <alignment vertical="center" wrapText="1"/>
    </xf>
    <xf numFmtId="166" fontId="31" fillId="17" borderId="34" xfId="0" applyNumberFormat="1" applyFont="1" applyFill="1" applyBorder="1" applyAlignment="1">
      <alignment vertical="center" wrapText="1"/>
    </xf>
    <xf numFmtId="166" fontId="47" fillId="8" borderId="26" xfId="0" applyNumberFormat="1" applyFont="1" applyFill="1" applyBorder="1" applyAlignment="1">
      <alignment vertical="center" wrapText="1"/>
    </xf>
    <xf numFmtId="166" fontId="47" fillId="8" borderId="1" xfId="0" applyNumberFormat="1" applyFont="1" applyFill="1" applyBorder="1" applyAlignment="1">
      <alignment vertical="center" wrapText="1"/>
    </xf>
    <xf numFmtId="166" fontId="47" fillId="17" borderId="1" xfId="0" applyNumberFormat="1" applyFont="1" applyFill="1" applyBorder="1" applyAlignment="1">
      <alignment vertical="center" wrapText="1"/>
    </xf>
    <xf numFmtId="166" fontId="47" fillId="17" borderId="30" xfId="0" applyNumberFormat="1" applyFont="1" applyFill="1" applyBorder="1" applyAlignment="1">
      <alignment vertical="center" wrapText="1"/>
    </xf>
    <xf numFmtId="166" fontId="47" fillId="17" borderId="11" xfId="0" applyNumberFormat="1" applyFont="1" applyFill="1" applyBorder="1" applyAlignment="1">
      <alignment vertical="center" wrapText="1"/>
    </xf>
    <xf numFmtId="166" fontId="47" fillId="17" borderId="12" xfId="0" applyNumberFormat="1" applyFont="1" applyFill="1" applyBorder="1" applyAlignment="1">
      <alignment vertical="center" wrapText="1"/>
    </xf>
    <xf numFmtId="166" fontId="48" fillId="17" borderId="1" xfId="0" applyNumberFormat="1" applyFont="1" applyFill="1" applyBorder="1" applyAlignment="1">
      <alignment horizontal="center" vertical="center" wrapText="1"/>
    </xf>
    <xf numFmtId="166" fontId="47" fillId="9" borderId="1" xfId="0" applyNumberFormat="1" applyFont="1" applyFill="1" applyBorder="1" applyAlignment="1">
      <alignment vertical="center" wrapText="1"/>
    </xf>
    <xf numFmtId="166" fontId="11" fillId="17" borderId="7" xfId="0" applyNumberFormat="1" applyFont="1" applyFill="1" applyBorder="1" applyAlignment="1">
      <alignment vertical="center" wrapText="1"/>
    </xf>
    <xf numFmtId="166" fontId="11" fillId="17" borderId="26" xfId="0" applyNumberFormat="1" applyFont="1" applyFill="1" applyBorder="1" applyAlignment="1">
      <alignment vertical="center" wrapText="1"/>
    </xf>
    <xf numFmtId="166" fontId="11" fillId="17" borderId="32" xfId="0" applyNumberFormat="1" applyFont="1" applyFill="1" applyBorder="1" applyAlignment="1">
      <alignment vertical="center" wrapText="1"/>
    </xf>
    <xf numFmtId="9" fontId="47" fillId="4" borderId="42" xfId="0" applyNumberFormat="1" applyFont="1" applyFill="1" applyBorder="1" applyAlignment="1">
      <alignment vertical="center" wrapText="1"/>
    </xf>
    <xf numFmtId="166" fontId="11" fillId="15" borderId="6" xfId="0" applyNumberFormat="1" applyFont="1" applyFill="1" applyBorder="1" applyAlignment="1">
      <alignment vertical="center" wrapText="1"/>
    </xf>
    <xf numFmtId="166" fontId="11" fillId="15" borderId="30" xfId="0" applyNumberFormat="1" applyFont="1" applyFill="1" applyBorder="1" applyAlignment="1">
      <alignment vertical="center" wrapText="1"/>
    </xf>
    <xf numFmtId="166" fontId="11" fillId="15" borderId="31" xfId="0" applyNumberFormat="1" applyFont="1" applyFill="1" applyBorder="1" applyAlignment="1">
      <alignment vertical="center" wrapText="1"/>
    </xf>
    <xf numFmtId="164" fontId="11" fillId="15" borderId="12" xfId="0" applyNumberFormat="1" applyFont="1" applyFill="1" applyBorder="1" applyAlignment="1">
      <alignment vertical="center" wrapText="1"/>
    </xf>
    <xf numFmtId="3" fontId="11" fillId="0" borderId="11" xfId="0" applyNumberFormat="1" applyFont="1" applyFill="1" applyBorder="1" applyAlignment="1">
      <alignment vertical="center" wrapText="1"/>
    </xf>
    <xf numFmtId="166" fontId="11" fillId="12" borderId="12" xfId="0" applyNumberFormat="1" applyFont="1" applyFill="1" applyBorder="1" applyAlignment="1">
      <alignment vertical="center" wrapText="1"/>
    </xf>
    <xf numFmtId="3" fontId="11" fillId="12" borderId="52" xfId="0" applyNumberFormat="1" applyFont="1" applyFill="1" applyBorder="1" applyAlignment="1">
      <alignment vertical="center" wrapText="1"/>
    </xf>
    <xf numFmtId="10" fontId="11" fillId="12" borderId="45" xfId="0" applyNumberFormat="1" applyFont="1" applyFill="1" applyBorder="1" applyAlignment="1">
      <alignment vertical="center" wrapText="1"/>
    </xf>
    <xf numFmtId="10" fontId="11" fillId="12" borderId="11" xfId="0" applyNumberFormat="1" applyFont="1" applyFill="1" applyBorder="1" applyAlignment="1">
      <alignment vertical="center" wrapText="1"/>
    </xf>
    <xf numFmtId="10" fontId="11" fillId="12" borderId="28" xfId="0" applyNumberFormat="1" applyFont="1" applyFill="1" applyBorder="1" applyAlignment="1">
      <alignment vertical="center" wrapText="1"/>
    </xf>
    <xf numFmtId="3" fontId="11" fillId="12" borderId="10" xfId="0" applyNumberFormat="1" applyFont="1" applyFill="1" applyBorder="1" applyAlignment="1">
      <alignment vertical="center" wrapText="1"/>
    </xf>
    <xf numFmtId="164" fontId="11" fillId="12" borderId="11" xfId="0" applyNumberFormat="1" applyFont="1" applyFill="1" applyBorder="1" applyAlignment="1">
      <alignment vertical="center" wrapText="1"/>
    </xf>
    <xf numFmtId="164" fontId="11" fillId="0" borderId="11" xfId="0" applyNumberFormat="1" applyFont="1" applyFill="1" applyBorder="1" applyAlignment="1">
      <alignment vertical="center" wrapText="1"/>
    </xf>
    <xf numFmtId="164" fontId="11" fillId="0" borderId="12" xfId="0" applyNumberFormat="1" applyFont="1" applyFill="1" applyBorder="1" applyAlignment="1">
      <alignment vertical="center" wrapText="1"/>
    </xf>
    <xf numFmtId="164" fontId="15" fillId="15" borderId="12" xfId="0" applyNumberFormat="1" applyFont="1" applyFill="1" applyBorder="1" applyAlignment="1">
      <alignment vertical="center" wrapText="1"/>
    </xf>
    <xf numFmtId="164" fontId="15" fillId="12" borderId="11" xfId="0" applyNumberFormat="1" applyFont="1" applyFill="1" applyBorder="1" applyAlignment="1">
      <alignment vertical="center" wrapText="1"/>
    </xf>
    <xf numFmtId="166" fontId="49" fillId="17" borderId="11" xfId="0" applyNumberFormat="1" applyFont="1" applyFill="1" applyBorder="1" applyAlignment="1">
      <alignment vertical="center" wrapText="1"/>
    </xf>
    <xf numFmtId="3" fontId="31" fillId="17" borderId="11" xfId="0" applyNumberFormat="1" applyFont="1" applyFill="1" applyBorder="1" applyAlignment="1">
      <alignment vertical="center" wrapText="1"/>
    </xf>
    <xf numFmtId="165" fontId="31" fillId="17" borderId="30" xfId="0" applyNumberFormat="1" applyFont="1" applyFill="1" applyBorder="1" applyAlignment="1">
      <alignment vertical="center" wrapText="1"/>
    </xf>
    <xf numFmtId="2" fontId="50" fillId="8" borderId="23" xfId="0" applyNumberFormat="1" applyFont="1" applyFill="1" applyBorder="1" applyAlignment="1">
      <alignment vertical="center" wrapText="1"/>
    </xf>
    <xf numFmtId="2" fontId="50" fillId="8" borderId="48" xfId="0" applyNumberFormat="1" applyFont="1" applyFill="1" applyBorder="1" applyAlignment="1">
      <alignment vertical="center" wrapText="1"/>
    </xf>
    <xf numFmtId="0" fontId="50" fillId="8" borderId="23" xfId="0" applyFont="1" applyFill="1" applyBorder="1" applyAlignment="1">
      <alignment vertical="center" wrapText="1"/>
    </xf>
    <xf numFmtId="0" fontId="4" fillId="15" borderId="21" xfId="0" applyFont="1" applyFill="1" applyBorder="1" applyAlignment="1">
      <alignment horizontal="center" vertical="center"/>
    </xf>
    <xf numFmtId="0" fontId="43" fillId="15" borderId="37" xfId="0" applyFont="1" applyFill="1" applyBorder="1" applyAlignment="1">
      <alignment vertical="center"/>
    </xf>
    <xf numFmtId="0" fontId="5" fillId="15" borderId="37" xfId="0" applyFont="1" applyFill="1" applyBorder="1" applyAlignment="1">
      <alignment vertical="center"/>
    </xf>
    <xf numFmtId="0" fontId="5" fillId="15" borderId="36" xfId="0" applyFont="1" applyFill="1" applyBorder="1" applyAlignment="1">
      <alignment vertical="center"/>
    </xf>
    <xf numFmtId="0" fontId="51" fillId="15" borderId="0" xfId="0" applyFont="1" applyFill="1" applyBorder="1" applyAlignment="1">
      <alignment vertical="center"/>
    </xf>
    <xf numFmtId="3" fontId="11" fillId="31" borderId="26" xfId="0" applyNumberFormat="1" applyFont="1" applyFill="1" applyBorder="1" applyAlignment="1">
      <alignment vertical="center" wrapText="1"/>
    </xf>
    <xf numFmtId="3" fontId="11" fillId="32" borderId="26" xfId="0" applyNumberFormat="1" applyFont="1" applyFill="1" applyBorder="1" applyAlignment="1">
      <alignment vertical="center" wrapText="1"/>
    </xf>
    <xf numFmtId="3" fontId="11" fillId="32" borderId="1" xfId="0" applyNumberFormat="1" applyFont="1" applyFill="1" applyBorder="1" applyAlignment="1">
      <alignment vertical="center" wrapText="1"/>
    </xf>
    <xf numFmtId="165" fontId="11" fillId="32" borderId="11" xfId="0" applyNumberFormat="1" applyFont="1" applyFill="1" applyBorder="1" applyAlignment="1">
      <alignment vertical="center" wrapText="1"/>
    </xf>
    <xf numFmtId="165" fontId="11" fillId="32" borderId="1" xfId="0" applyNumberFormat="1" applyFont="1" applyFill="1" applyBorder="1" applyAlignment="1">
      <alignment vertical="center" wrapText="1"/>
    </xf>
    <xf numFmtId="165" fontId="11" fillId="32" borderId="26" xfId="0" applyNumberFormat="1" applyFont="1" applyFill="1" applyBorder="1" applyAlignment="1">
      <alignment vertical="center" wrapText="1"/>
    </xf>
    <xf numFmtId="0" fontId="10" fillId="31" borderId="7" xfId="0" applyFont="1" applyFill="1" applyBorder="1" applyAlignment="1">
      <alignment wrapText="1"/>
    </xf>
    <xf numFmtId="3" fontId="39" fillId="31" borderId="16" xfId="0" applyNumberFormat="1" applyFont="1" applyFill="1" applyBorder="1" applyAlignment="1">
      <alignment vertical="center" wrapText="1"/>
    </xf>
    <xf numFmtId="166" fontId="11" fillId="31" borderId="7" xfId="0" applyNumberFormat="1" applyFont="1" applyFill="1" applyBorder="1" applyAlignment="1">
      <alignment horizontal="right" vertical="center" wrapText="1"/>
    </xf>
    <xf numFmtId="166" fontId="11" fillId="31" borderId="26" xfId="0" applyNumberFormat="1" applyFont="1" applyFill="1" applyBorder="1" applyAlignment="1">
      <alignment horizontal="right" vertical="center" wrapText="1"/>
    </xf>
    <xf numFmtId="166" fontId="11" fillId="31" borderId="32" xfId="0" applyNumberFormat="1" applyFont="1" applyFill="1" applyBorder="1" applyAlignment="1">
      <alignment horizontal="right" vertical="center" wrapText="1"/>
    </xf>
    <xf numFmtId="166" fontId="39" fillId="31" borderId="4" xfId="0" applyNumberFormat="1" applyFont="1" applyFill="1" applyBorder="1" applyAlignment="1">
      <alignment horizontal="right" vertical="center" wrapText="1"/>
    </xf>
    <xf numFmtId="166" fontId="31" fillId="31" borderId="26" xfId="0" applyNumberFormat="1" applyFont="1" applyFill="1" applyBorder="1" applyAlignment="1">
      <alignment horizontal="right" vertical="center" wrapText="1"/>
    </xf>
    <xf numFmtId="166" fontId="47" fillId="31" borderId="26" xfId="0" applyNumberFormat="1" applyFont="1" applyFill="1" applyBorder="1" applyAlignment="1">
      <alignment horizontal="right" vertical="center" wrapText="1"/>
    </xf>
    <xf numFmtId="165" fontId="10" fillId="31" borderId="26" xfId="0" applyNumberFormat="1" applyFont="1" applyFill="1" applyBorder="1" applyAlignment="1">
      <alignment vertical="center" wrapText="1"/>
    </xf>
    <xf numFmtId="165" fontId="11" fillId="31" borderId="26" xfId="0" applyNumberFormat="1" applyFont="1" applyFill="1" applyBorder="1" applyAlignment="1">
      <alignment vertical="center" wrapText="1"/>
    </xf>
    <xf numFmtId="164" fontId="11" fillId="31" borderId="26" xfId="0" applyNumberFormat="1" applyFont="1" applyFill="1" applyBorder="1" applyAlignment="1">
      <alignment vertical="center" wrapText="1"/>
    </xf>
    <xf numFmtId="3" fontId="10" fillId="29" borderId="26" xfId="0" applyNumberFormat="1" applyFont="1" applyFill="1" applyBorder="1" applyAlignment="1">
      <alignment horizontal="right" vertical="center" wrapText="1"/>
    </xf>
    <xf numFmtId="3" fontId="10" fillId="29" borderId="26" xfId="0" applyNumberFormat="1" applyFont="1" applyFill="1" applyBorder="1" applyAlignment="1">
      <alignment vertical="center" wrapText="1"/>
    </xf>
    <xf numFmtId="165" fontId="10" fillId="29" borderId="26" xfId="0" applyNumberFormat="1" applyFont="1" applyFill="1" applyBorder="1" applyAlignment="1">
      <alignment vertical="center" wrapText="1"/>
    </xf>
    <xf numFmtId="165" fontId="10" fillId="29" borderId="27" xfId="0" applyNumberFormat="1" applyFont="1" applyFill="1" applyBorder="1" applyAlignment="1">
      <alignment vertical="center" wrapText="1"/>
    </xf>
    <xf numFmtId="0" fontId="4" fillId="29" borderId="9" xfId="0" applyFont="1" applyFill="1" applyBorder="1" applyAlignment="1">
      <alignment horizontal="center" vertical="center" wrapText="1"/>
    </xf>
    <xf numFmtId="0" fontId="10" fillId="29" borderId="18" xfId="0" applyFont="1" applyFill="1" applyBorder="1" applyAlignment="1">
      <alignment horizontal="center" vertical="center" wrapText="1"/>
    </xf>
    <xf numFmtId="0" fontId="10" fillId="29" borderId="18" xfId="0" applyFont="1" applyFill="1" applyBorder="1" applyAlignment="1">
      <alignment horizontal="center" vertical="center" wrapText="1"/>
    </xf>
    <xf numFmtId="0" fontId="44" fillId="25" borderId="0" xfId="0" applyFont="1" applyFill="1" applyBorder="1" applyAlignment="1">
      <alignment vertical="center"/>
    </xf>
    <xf numFmtId="0" fontId="54" fillId="0" borderId="0" xfId="0" applyFont="1" applyAlignment="1">
      <alignment vertical="center"/>
    </xf>
    <xf numFmtId="0" fontId="56" fillId="0" borderId="0" xfId="0" applyFont="1" applyAlignment="1">
      <alignment vertical="center"/>
    </xf>
    <xf numFmtId="0" fontId="27" fillId="0" borderId="0" xfId="0" applyFont="1"/>
    <xf numFmtId="0" fontId="28" fillId="13" borderId="0" xfId="0" applyFont="1" applyFill="1" applyAlignment="1">
      <alignment vertical="center"/>
    </xf>
    <xf numFmtId="0" fontId="28" fillId="14" borderId="0" xfId="0" applyFont="1" applyFill="1" applyAlignment="1">
      <alignment vertical="center"/>
    </xf>
    <xf numFmtId="0" fontId="28" fillId="15" borderId="0" xfId="0" applyFont="1" applyFill="1" applyAlignment="1">
      <alignment vertical="center"/>
    </xf>
    <xf numFmtId="0" fontId="3" fillId="25" borderId="0" xfId="0" applyFont="1" applyFill="1" applyBorder="1" applyAlignment="1">
      <alignment vertical="center"/>
    </xf>
    <xf numFmtId="0" fontId="60" fillId="0" borderId="0" xfId="0" applyFont="1"/>
    <xf numFmtId="2" fontId="60" fillId="32" borderId="44" xfId="0" applyNumberFormat="1" applyFont="1" applyFill="1" applyBorder="1" applyAlignment="1">
      <alignment vertical="center" wrapText="1"/>
    </xf>
    <xf numFmtId="3" fontId="60" fillId="32" borderId="45" xfId="0" applyNumberFormat="1" applyFont="1" applyFill="1" applyBorder="1" applyAlignment="1">
      <alignment vertical="center" wrapText="1"/>
    </xf>
    <xf numFmtId="3" fontId="60" fillId="32" borderId="29" xfId="0" applyNumberFormat="1" applyFont="1" applyFill="1" applyBorder="1" applyAlignment="1">
      <alignment vertical="center" wrapText="1"/>
    </xf>
    <xf numFmtId="3" fontId="60" fillId="32" borderId="6" xfId="0" applyNumberFormat="1" applyFont="1" applyFill="1" applyBorder="1" applyAlignment="1">
      <alignment vertical="center" wrapText="1"/>
    </xf>
    <xf numFmtId="3" fontId="60" fillId="32" borderId="46" xfId="0" applyNumberFormat="1" applyFont="1" applyFill="1" applyBorder="1" applyAlignment="1">
      <alignment vertical="center" wrapText="1"/>
    </xf>
    <xf numFmtId="2" fontId="60" fillId="0" borderId="0" xfId="0" applyNumberFormat="1" applyFont="1" applyFill="1"/>
    <xf numFmtId="2" fontId="60" fillId="0" borderId="0" xfId="0" applyNumberFormat="1" applyFont="1"/>
    <xf numFmtId="2" fontId="60" fillId="8" borderId="22" xfId="0" applyNumberFormat="1" applyFont="1" applyFill="1" applyBorder="1" applyAlignment="1">
      <alignment vertical="center" wrapText="1"/>
    </xf>
    <xf numFmtId="166" fontId="61" fillId="17" borderId="33" xfId="0" applyNumberFormat="1" applyFont="1" applyFill="1" applyBorder="1" applyAlignment="1">
      <alignment vertical="center" wrapText="1"/>
    </xf>
    <xf numFmtId="166" fontId="61" fillId="17" borderId="2" xfId="0" applyNumberFormat="1" applyFont="1" applyFill="1" applyBorder="1" applyAlignment="1">
      <alignment vertical="center" wrapText="1"/>
    </xf>
    <xf numFmtId="166" fontId="61" fillId="17" borderId="34" xfId="0" applyNumberFormat="1" applyFont="1" applyFill="1" applyBorder="1" applyAlignment="1">
      <alignment vertical="center" wrapText="1"/>
    </xf>
    <xf numFmtId="166" fontId="61" fillId="17" borderId="10" xfId="0" applyNumberFormat="1" applyFont="1" applyFill="1" applyBorder="1" applyAlignment="1">
      <alignment vertical="center" wrapText="1"/>
    </xf>
    <xf numFmtId="2" fontId="60" fillId="8" borderId="23" xfId="0" applyNumberFormat="1" applyFont="1" applyFill="1" applyBorder="1" applyAlignment="1">
      <alignment vertical="center" wrapText="1"/>
    </xf>
    <xf numFmtId="166" fontId="62" fillId="17" borderId="33" xfId="0" applyNumberFormat="1" applyFont="1" applyFill="1" applyBorder="1" applyAlignment="1">
      <alignment vertical="center" wrapText="1"/>
    </xf>
    <xf numFmtId="166" fontId="62" fillId="17" borderId="2" xfId="0" applyNumberFormat="1" applyFont="1" applyFill="1" applyBorder="1" applyAlignment="1">
      <alignment vertical="center" wrapText="1"/>
    </xf>
    <xf numFmtId="166" fontId="62" fillId="17" borderId="34" xfId="0" applyNumberFormat="1" applyFont="1" applyFill="1" applyBorder="1" applyAlignment="1">
      <alignment vertical="center" wrapText="1"/>
    </xf>
    <xf numFmtId="166" fontId="62" fillId="17" borderId="1" xfId="0" applyNumberFormat="1" applyFont="1" applyFill="1" applyBorder="1" applyAlignment="1">
      <alignment vertical="center" wrapText="1"/>
    </xf>
    <xf numFmtId="166" fontId="62" fillId="17" borderId="12" xfId="0" applyNumberFormat="1" applyFont="1" applyFill="1" applyBorder="1" applyAlignment="1">
      <alignment vertical="center" wrapText="1"/>
    </xf>
    <xf numFmtId="1" fontId="60" fillId="8" borderId="23" xfId="0" applyNumberFormat="1" applyFont="1" applyFill="1" applyBorder="1" applyAlignment="1">
      <alignment vertical="center" wrapText="1"/>
    </xf>
    <xf numFmtId="166" fontId="63" fillId="17" borderId="11" xfId="0" applyNumberFormat="1" applyFont="1" applyFill="1" applyBorder="1" applyAlignment="1">
      <alignment horizontal="right" vertical="center" wrapText="1"/>
    </xf>
    <xf numFmtId="166" fontId="64" fillId="17" borderId="1" xfId="0" applyNumberFormat="1" applyFont="1" applyFill="1" applyBorder="1" applyAlignment="1">
      <alignment vertical="center" wrapText="1"/>
    </xf>
    <xf numFmtId="166" fontId="64" fillId="17" borderId="30" xfId="0" applyNumberFormat="1" applyFont="1" applyFill="1" applyBorder="1" applyAlignment="1">
      <alignment vertical="center" wrapText="1"/>
    </xf>
    <xf numFmtId="166" fontId="64" fillId="17" borderId="12" xfId="0" applyNumberFormat="1" applyFont="1" applyFill="1" applyBorder="1" applyAlignment="1">
      <alignment vertical="center" wrapText="1"/>
    </xf>
    <xf numFmtId="1" fontId="60" fillId="0" borderId="0" xfId="0" applyNumberFormat="1" applyFont="1" applyFill="1"/>
    <xf numFmtId="1" fontId="60" fillId="0" borderId="0" xfId="0" applyNumberFormat="1" applyFont="1"/>
    <xf numFmtId="3" fontId="60" fillId="17" borderId="11" xfId="0" applyNumberFormat="1" applyFont="1" applyFill="1" applyBorder="1" applyAlignment="1">
      <alignment vertical="center" wrapText="1"/>
    </xf>
    <xf numFmtId="3" fontId="60" fillId="17" borderId="1" xfId="0" applyNumberFormat="1" applyFont="1" applyFill="1" applyBorder="1" applyAlignment="1">
      <alignment vertical="center" wrapText="1"/>
    </xf>
    <xf numFmtId="3" fontId="60" fillId="17" borderId="30" xfId="0" applyNumberFormat="1" applyFont="1" applyFill="1" applyBorder="1" applyAlignment="1">
      <alignment vertical="center" wrapText="1"/>
    </xf>
    <xf numFmtId="3" fontId="60" fillId="17" borderId="12" xfId="0" applyNumberFormat="1" applyFont="1" applyFill="1" applyBorder="1" applyAlignment="1">
      <alignment vertical="center" wrapText="1"/>
    </xf>
    <xf numFmtId="0" fontId="51" fillId="7" borderId="23" xfId="0" applyFont="1" applyFill="1" applyBorder="1" applyAlignment="1">
      <alignment vertical="center" wrapText="1"/>
    </xf>
    <xf numFmtId="3" fontId="51" fillId="18" borderId="11" xfId="0" applyNumberFormat="1" applyFont="1" applyFill="1" applyBorder="1" applyAlignment="1">
      <alignment vertical="center" wrapText="1"/>
    </xf>
    <xf numFmtId="3" fontId="51" fillId="18" borderId="1" xfId="0" applyNumberFormat="1" applyFont="1" applyFill="1" applyBorder="1" applyAlignment="1">
      <alignment vertical="center" wrapText="1"/>
    </xf>
    <xf numFmtId="3" fontId="51" fillId="18" borderId="30" xfId="0" applyNumberFormat="1" applyFont="1" applyFill="1" applyBorder="1" applyAlignment="1">
      <alignment vertical="center" wrapText="1"/>
    </xf>
    <xf numFmtId="3" fontId="51" fillId="18" borderId="12" xfId="0" applyNumberFormat="1" applyFont="1" applyFill="1" applyBorder="1" applyAlignment="1">
      <alignment vertical="center" wrapText="1"/>
    </xf>
    <xf numFmtId="0" fontId="60" fillId="0" borderId="0" xfId="0" applyFont="1" applyFill="1"/>
    <xf numFmtId="0" fontId="51" fillId="4" borderId="48" xfId="0" applyFont="1" applyFill="1" applyBorder="1" applyAlignment="1">
      <alignment vertical="center" wrapText="1"/>
    </xf>
    <xf numFmtId="0" fontId="51" fillId="4" borderId="28" xfId="0" applyFont="1" applyFill="1" applyBorder="1" applyAlignment="1">
      <alignment vertical="center" wrapText="1"/>
    </xf>
    <xf numFmtId="0" fontId="51" fillId="4" borderId="13" xfId="0" applyFont="1" applyFill="1" applyBorder="1" applyAlignment="1">
      <alignment vertical="center" wrapText="1"/>
    </xf>
    <xf numFmtId="0" fontId="51" fillId="4" borderId="31" xfId="0" applyFont="1" applyFill="1" applyBorder="1" applyAlignment="1">
      <alignment vertical="center" wrapText="1"/>
    </xf>
    <xf numFmtId="0" fontId="60" fillId="4" borderId="13" xfId="0" applyFont="1" applyFill="1" applyBorder="1" applyAlignment="1">
      <alignment vertical="center" wrapText="1"/>
    </xf>
    <xf numFmtId="0" fontId="60" fillId="4" borderId="14" xfId="0" applyFont="1" applyFill="1" applyBorder="1" applyAlignment="1">
      <alignment vertical="center" wrapText="1"/>
    </xf>
    <xf numFmtId="0" fontId="60" fillId="2" borderId="22" xfId="0" applyFont="1" applyFill="1" applyBorder="1" applyAlignment="1">
      <alignment vertical="center" wrapText="1"/>
    </xf>
    <xf numFmtId="167" fontId="60" fillId="17" borderId="33" xfId="0" applyNumberFormat="1" applyFont="1" applyFill="1" applyBorder="1" applyAlignment="1">
      <alignment vertical="center" wrapText="1"/>
    </xf>
    <xf numFmtId="167" fontId="60" fillId="17" borderId="2" xfId="0" applyNumberFormat="1" applyFont="1" applyFill="1" applyBorder="1" applyAlignment="1">
      <alignment vertical="center" wrapText="1"/>
    </xf>
    <xf numFmtId="167" fontId="60" fillId="17" borderId="34" xfId="0" applyNumberFormat="1" applyFont="1" applyFill="1" applyBorder="1" applyAlignment="1">
      <alignment vertical="center" wrapText="1"/>
    </xf>
    <xf numFmtId="167" fontId="60" fillId="17" borderId="10" xfId="0" applyNumberFormat="1" applyFont="1" applyFill="1" applyBorder="1" applyAlignment="1">
      <alignment vertical="center" wrapText="1"/>
    </xf>
    <xf numFmtId="0" fontId="60" fillId="2" borderId="23" xfId="0" applyFont="1" applyFill="1" applyBorder="1" applyAlignment="1">
      <alignment vertical="center" wrapText="1"/>
    </xf>
    <xf numFmtId="167" fontId="60" fillId="17" borderId="1" xfId="0" applyNumberFormat="1" applyFont="1" applyFill="1" applyBorder="1" applyAlignment="1">
      <alignment vertical="center" wrapText="1"/>
    </xf>
    <xf numFmtId="167" fontId="60" fillId="17" borderId="30" xfId="0" applyNumberFormat="1" applyFont="1" applyFill="1" applyBorder="1" applyAlignment="1">
      <alignment vertical="center" wrapText="1"/>
    </xf>
    <xf numFmtId="167" fontId="60" fillId="17" borderId="12" xfId="0" applyNumberFormat="1" applyFont="1" applyFill="1" applyBorder="1" applyAlignment="1">
      <alignment vertical="center" wrapText="1"/>
    </xf>
    <xf numFmtId="0" fontId="51" fillId="3" borderId="23" xfId="0" applyFont="1" applyFill="1" applyBorder="1" applyAlignment="1">
      <alignment vertical="center" wrapText="1"/>
    </xf>
    <xf numFmtId="165" fontId="51" fillId="3" borderId="11" xfId="0" applyNumberFormat="1" applyFont="1" applyFill="1" applyBorder="1" applyAlignment="1">
      <alignment vertical="center" wrapText="1"/>
    </xf>
    <xf numFmtId="165" fontId="51" fillId="3" borderId="1" xfId="0" applyNumberFormat="1" applyFont="1" applyFill="1" applyBorder="1" applyAlignment="1">
      <alignment vertical="center" wrapText="1"/>
    </xf>
    <xf numFmtId="165" fontId="51" fillId="3" borderId="30" xfId="0" applyNumberFormat="1" applyFont="1" applyFill="1" applyBorder="1" applyAlignment="1">
      <alignment vertical="center" wrapText="1"/>
    </xf>
    <xf numFmtId="165" fontId="51" fillId="3" borderId="12" xfId="0" applyNumberFormat="1" applyFont="1" applyFill="1" applyBorder="1" applyAlignment="1">
      <alignment vertical="center" wrapText="1"/>
    </xf>
    <xf numFmtId="0" fontId="51" fillId="4" borderId="23" xfId="0" applyFont="1" applyFill="1" applyBorder="1" applyAlignment="1">
      <alignment vertical="center" wrapText="1"/>
    </xf>
    <xf numFmtId="0" fontId="51" fillId="4" borderId="11" xfId="0" applyFont="1" applyFill="1" applyBorder="1" applyAlignment="1">
      <alignment vertical="center" wrapText="1"/>
    </xf>
    <xf numFmtId="0" fontId="51" fillId="4" borderId="1" xfId="0" applyFont="1" applyFill="1" applyBorder="1" applyAlignment="1">
      <alignment vertical="center" wrapText="1"/>
    </xf>
    <xf numFmtId="0" fontId="51" fillId="4" borderId="30" xfId="0" applyFont="1" applyFill="1" applyBorder="1" applyAlignment="1">
      <alignment vertical="center" wrapText="1"/>
    </xf>
    <xf numFmtId="0" fontId="51" fillId="4" borderId="12" xfId="0" applyFont="1" applyFill="1" applyBorder="1" applyAlignment="1">
      <alignment vertical="center" wrapText="1"/>
    </xf>
    <xf numFmtId="164" fontId="60" fillId="32" borderId="23" xfId="0" applyNumberFormat="1" applyFont="1" applyFill="1" applyBorder="1" applyAlignment="1">
      <alignment vertical="center" wrapText="1"/>
    </xf>
    <xf numFmtId="165" fontId="60" fillId="32" borderId="11" xfId="0" applyNumberFormat="1" applyFont="1" applyFill="1" applyBorder="1" applyAlignment="1">
      <alignment vertical="center" wrapText="1"/>
    </xf>
    <xf numFmtId="165" fontId="60" fillId="32" borderId="1" xfId="0" applyNumberFormat="1" applyFont="1" applyFill="1" applyBorder="1" applyAlignment="1">
      <alignment vertical="center" wrapText="1"/>
    </xf>
    <xf numFmtId="165" fontId="60" fillId="32" borderId="30" xfId="0" applyNumberFormat="1" applyFont="1" applyFill="1" applyBorder="1" applyAlignment="1">
      <alignment vertical="center" wrapText="1"/>
    </xf>
    <xf numFmtId="165" fontId="60" fillId="32" borderId="12" xfId="0" applyNumberFormat="1" applyFont="1" applyFill="1" applyBorder="1" applyAlignment="1">
      <alignment vertical="center" wrapText="1"/>
    </xf>
    <xf numFmtId="164" fontId="60" fillId="5" borderId="23" xfId="0" applyNumberFormat="1" applyFont="1" applyFill="1" applyBorder="1" applyAlignment="1">
      <alignment vertical="center" wrapText="1"/>
    </xf>
    <xf numFmtId="165" fontId="60" fillId="17" borderId="11" xfId="0" applyNumberFormat="1" applyFont="1" applyFill="1" applyBorder="1" applyAlignment="1">
      <alignment vertical="center" wrapText="1"/>
    </xf>
    <xf numFmtId="165" fontId="60" fillId="17" borderId="1" xfId="0" applyNumberFormat="1" applyFont="1" applyFill="1" applyBorder="1" applyAlignment="1">
      <alignment vertical="center" wrapText="1"/>
    </xf>
    <xf numFmtId="165" fontId="60" fillId="17" borderId="30" xfId="0" applyNumberFormat="1" applyFont="1" applyFill="1" applyBorder="1" applyAlignment="1">
      <alignment vertical="center" wrapText="1"/>
    </xf>
    <xf numFmtId="165" fontId="60" fillId="17" borderId="12" xfId="0" applyNumberFormat="1" applyFont="1" applyFill="1" applyBorder="1" applyAlignment="1">
      <alignment vertical="center" wrapText="1"/>
    </xf>
    <xf numFmtId="0" fontId="66" fillId="5" borderId="23" xfId="0" applyFont="1" applyFill="1" applyBorder="1" applyAlignment="1">
      <alignment vertical="center" wrapText="1"/>
    </xf>
    <xf numFmtId="164" fontId="51" fillId="6" borderId="23" xfId="0" applyNumberFormat="1" applyFont="1" applyFill="1" applyBorder="1" applyAlignment="1">
      <alignment vertical="center" wrapText="1"/>
    </xf>
    <xf numFmtId="165" fontId="51" fillId="6" borderId="11" xfId="0" applyNumberFormat="1" applyFont="1" applyFill="1" applyBorder="1" applyAlignment="1">
      <alignment vertical="center" wrapText="1"/>
    </xf>
    <xf numFmtId="165" fontId="51" fillId="6" borderId="1" xfId="0" applyNumberFormat="1" applyFont="1" applyFill="1" applyBorder="1" applyAlignment="1">
      <alignment vertical="center" wrapText="1"/>
    </xf>
    <xf numFmtId="165" fontId="51" fillId="6" borderId="30" xfId="0" applyNumberFormat="1" applyFont="1" applyFill="1" applyBorder="1" applyAlignment="1">
      <alignment vertical="center" wrapText="1"/>
    </xf>
    <xf numFmtId="165" fontId="51" fillId="6" borderId="12" xfId="0" applyNumberFormat="1" applyFont="1" applyFill="1" applyBorder="1" applyAlignment="1">
      <alignment vertical="center" wrapText="1"/>
    </xf>
    <xf numFmtId="0" fontId="51" fillId="4" borderId="24" xfId="0" applyFont="1" applyFill="1" applyBorder="1" applyAlignment="1">
      <alignment vertical="center" wrapText="1"/>
    </xf>
    <xf numFmtId="164" fontId="51" fillId="4" borderId="11" xfId="0" applyNumberFormat="1" applyFont="1" applyFill="1" applyBorder="1" applyAlignment="1">
      <alignment vertical="center" wrapText="1"/>
    </xf>
    <xf numFmtId="164" fontId="51" fillId="4" borderId="1" xfId="0" applyNumberFormat="1" applyFont="1" applyFill="1" applyBorder="1" applyAlignment="1">
      <alignment vertical="center" wrapText="1"/>
    </xf>
    <xf numFmtId="164" fontId="51" fillId="4" borderId="30" xfId="0" applyNumberFormat="1" applyFont="1" applyFill="1" applyBorder="1" applyAlignment="1">
      <alignment vertical="center" wrapText="1"/>
    </xf>
    <xf numFmtId="164" fontId="51" fillId="4" borderId="12" xfId="0" applyNumberFormat="1" applyFont="1" applyFill="1" applyBorder="1" applyAlignment="1">
      <alignment vertical="center" wrapText="1"/>
    </xf>
    <xf numFmtId="164" fontId="51" fillId="12" borderId="25" xfId="0" applyNumberFormat="1" applyFont="1" applyFill="1" applyBorder="1" applyAlignment="1">
      <alignment vertical="center" wrapText="1"/>
    </xf>
    <xf numFmtId="165" fontId="51" fillId="12" borderId="28" xfId="0" applyNumberFormat="1" applyFont="1" applyFill="1" applyBorder="1" applyAlignment="1">
      <alignment vertical="center" wrapText="1"/>
    </xf>
    <xf numFmtId="165" fontId="51" fillId="12" borderId="13" xfId="0" applyNumberFormat="1" applyFont="1" applyFill="1" applyBorder="1" applyAlignment="1">
      <alignment vertical="center" wrapText="1"/>
    </xf>
    <xf numFmtId="165" fontId="51" fillId="12" borderId="14" xfId="0" applyNumberFormat="1" applyFont="1" applyFill="1" applyBorder="1" applyAlignment="1">
      <alignment vertical="center" wrapText="1"/>
    </xf>
    <xf numFmtId="0" fontId="60" fillId="0" borderId="0" xfId="0" applyFont="1" applyFill="1" applyAlignment="1">
      <alignment vertical="center"/>
    </xf>
    <xf numFmtId="164" fontId="51" fillId="0" borderId="0" xfId="0" applyNumberFormat="1" applyFont="1" applyFill="1" applyBorder="1" applyAlignment="1">
      <alignment vertical="center" wrapText="1"/>
    </xf>
    <xf numFmtId="0" fontId="51" fillId="0" borderId="0" xfId="0" applyFont="1" applyFill="1" applyAlignment="1">
      <alignment horizontal="left" vertical="center"/>
    </xf>
    <xf numFmtId="0" fontId="65" fillId="0" borderId="0" xfId="0" applyFont="1" applyFill="1" applyAlignment="1">
      <alignment horizontal="left" vertical="center"/>
    </xf>
    <xf numFmtId="0" fontId="60" fillId="0" borderId="0" xfId="0" applyFont="1" applyFill="1" applyAlignment="1">
      <alignment horizontal="left" vertical="center"/>
    </xf>
    <xf numFmtId="0" fontId="51" fillId="0" borderId="0" xfId="0" applyFont="1" applyFill="1" applyBorder="1" applyAlignment="1">
      <alignment vertical="center" wrapText="1"/>
    </xf>
    <xf numFmtId="0" fontId="67" fillId="0" borderId="0" xfId="0" applyFont="1" applyFill="1" applyBorder="1" applyAlignment="1">
      <alignment vertical="center"/>
    </xf>
    <xf numFmtId="0" fontId="60" fillId="0" borderId="0" xfId="0" applyFont="1" applyFill="1" applyBorder="1" applyAlignment="1">
      <alignment vertical="center"/>
    </xf>
    <xf numFmtId="0" fontId="51" fillId="0" borderId="0" xfId="0" applyFont="1" applyFill="1" applyBorder="1" applyAlignment="1">
      <alignment vertical="center"/>
    </xf>
    <xf numFmtId="0" fontId="51" fillId="0" borderId="0" xfId="0" applyFont="1" applyFill="1" applyAlignment="1">
      <alignment vertical="center"/>
    </xf>
    <xf numFmtId="0" fontId="67" fillId="0" borderId="0" xfId="0" applyFont="1" applyFill="1" applyBorder="1" applyAlignment="1">
      <alignment vertical="center" wrapText="1"/>
    </xf>
    <xf numFmtId="20" fontId="60" fillId="0" borderId="0" xfId="0" applyNumberFormat="1" applyFont="1" applyFill="1" applyAlignment="1">
      <alignment vertical="center"/>
    </xf>
    <xf numFmtId="20" fontId="60" fillId="0" borderId="0" xfId="0" applyNumberFormat="1" applyFont="1" applyAlignment="1">
      <alignment vertical="center"/>
    </xf>
    <xf numFmtId="0" fontId="51" fillId="0" borderId="0" xfId="0" applyFont="1" applyAlignment="1">
      <alignment vertical="center"/>
    </xf>
    <xf numFmtId="0" fontId="68" fillId="0" borderId="0" xfId="0" applyFont="1" applyFill="1" applyBorder="1" applyAlignment="1">
      <alignment vertical="center"/>
    </xf>
    <xf numFmtId="0" fontId="60" fillId="0" borderId="0" xfId="0" applyFont="1" applyAlignment="1">
      <alignment vertical="center"/>
    </xf>
    <xf numFmtId="0" fontId="60" fillId="0" borderId="0" xfId="0" applyFont="1" applyAlignment="1">
      <alignment horizontal="center"/>
    </xf>
    <xf numFmtId="0" fontId="3" fillId="0" borderId="0" xfId="0" applyFont="1" applyAlignment="1">
      <alignment vertical="center"/>
    </xf>
    <xf numFmtId="0" fontId="51" fillId="0" borderId="0" xfId="0" applyFont="1" applyFill="1" applyAlignment="1">
      <alignment horizontal="right" vertical="center"/>
    </xf>
    <xf numFmtId="0" fontId="12" fillId="9" borderId="7" xfId="0" applyFont="1" applyFill="1" applyBorder="1" applyAlignment="1">
      <alignment horizontal="center" vertical="center" wrapText="1"/>
    </xf>
    <xf numFmtId="0" fontId="12" fillId="9" borderId="29" xfId="0" applyFont="1" applyFill="1" applyBorder="1" applyAlignment="1">
      <alignment horizontal="center" vertical="center" wrapText="1"/>
    </xf>
    <xf numFmtId="0" fontId="12" fillId="9" borderId="6" xfId="0" applyFont="1" applyFill="1" applyBorder="1" applyAlignment="1">
      <alignment horizontal="center" vertical="center" wrapText="1"/>
    </xf>
    <xf numFmtId="0" fontId="10" fillId="15" borderId="21" xfId="0" applyFont="1" applyFill="1" applyBorder="1" applyAlignment="1">
      <alignment horizontal="center" vertical="center" wrapText="1"/>
    </xf>
    <xf numFmtId="0" fontId="10" fillId="15" borderId="18" xfId="0" applyFont="1" applyFill="1" applyBorder="1" applyAlignment="1">
      <alignment horizontal="center" vertical="center" wrapText="1"/>
    </xf>
    <xf numFmtId="0" fontId="10" fillId="15" borderId="19"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0" fillId="15" borderId="15" xfId="0" applyFont="1" applyFill="1" applyBorder="1" applyAlignment="1">
      <alignment horizontal="center" vertical="center" wrapText="1"/>
    </xf>
    <xf numFmtId="0" fontId="10" fillId="15" borderId="35" xfId="0" applyFont="1" applyFill="1" applyBorder="1" applyAlignment="1">
      <alignment horizontal="center" vertical="center" wrapText="1"/>
    </xf>
    <xf numFmtId="0" fontId="33" fillId="10" borderId="21" xfId="0" applyFont="1" applyFill="1" applyBorder="1" applyAlignment="1">
      <alignment horizontal="center" vertical="center" wrapText="1"/>
    </xf>
    <xf numFmtId="0" fontId="32" fillId="10" borderId="37" xfId="0" applyFont="1" applyFill="1" applyBorder="1" applyAlignment="1">
      <alignment horizontal="center" vertical="center" wrapText="1"/>
    </xf>
    <xf numFmtId="0" fontId="32" fillId="10" borderId="36" xfId="0" applyFont="1" applyFill="1" applyBorder="1" applyAlignment="1">
      <alignment horizontal="center" vertical="center" wrapText="1"/>
    </xf>
    <xf numFmtId="166" fontId="19" fillId="17" borderId="23" xfId="0" applyNumberFormat="1" applyFont="1" applyFill="1" applyBorder="1" applyAlignment="1">
      <alignment horizontal="center" vertical="center" wrapText="1"/>
    </xf>
    <xf numFmtId="166" fontId="19" fillId="17" borderId="56" xfId="0" applyNumberFormat="1" applyFont="1" applyFill="1" applyBorder="1" applyAlignment="1">
      <alignment horizontal="center" vertical="center" wrapText="1"/>
    </xf>
    <xf numFmtId="165" fontId="19" fillId="17" borderId="23" xfId="0" applyNumberFormat="1" applyFont="1" applyFill="1" applyBorder="1" applyAlignment="1">
      <alignment horizontal="center" vertical="center" wrapText="1"/>
    </xf>
    <xf numFmtId="165" fontId="19" fillId="17" borderId="56" xfId="0" applyNumberFormat="1" applyFont="1" applyFill="1" applyBorder="1" applyAlignment="1">
      <alignment horizontal="center" vertical="center" wrapText="1"/>
    </xf>
    <xf numFmtId="1" fontId="11" fillId="12" borderId="23" xfId="0" applyNumberFormat="1" applyFont="1" applyFill="1" applyBorder="1" applyAlignment="1">
      <alignment horizontal="center" vertical="center" wrapText="1"/>
    </xf>
    <xf numFmtId="1" fontId="11" fillId="12" borderId="56" xfId="0" applyNumberFormat="1" applyFont="1" applyFill="1" applyBorder="1" applyAlignment="1">
      <alignment horizontal="center" vertical="center" wrapText="1"/>
    </xf>
    <xf numFmtId="0" fontId="58" fillId="10" borderId="66" xfId="0" applyFont="1" applyFill="1" applyBorder="1" applyAlignment="1">
      <alignment horizontal="center" vertical="center" wrapText="1"/>
    </xf>
    <xf numFmtId="0" fontId="58" fillId="10" borderId="68" xfId="0" applyFont="1" applyFill="1" applyBorder="1" applyAlignment="1">
      <alignment horizontal="center" vertical="center" wrapText="1"/>
    </xf>
    <xf numFmtId="0" fontId="28" fillId="0" borderId="0" xfId="0" applyFont="1" applyFill="1" applyBorder="1" applyAlignment="1">
      <alignment horizontal="left" vertical="center" wrapText="1"/>
    </xf>
    <xf numFmtId="0" fontId="69" fillId="0" borderId="0" xfId="0" applyFont="1" applyFill="1" applyBorder="1" applyAlignment="1">
      <alignment horizontal="left" vertical="center" wrapText="1"/>
    </xf>
    <xf numFmtId="0" fontId="58" fillId="4" borderId="20" xfId="0" applyFont="1" applyFill="1" applyBorder="1" applyAlignment="1">
      <alignment horizontal="center" vertical="center" wrapText="1"/>
    </xf>
    <xf numFmtId="0" fontId="58" fillId="4" borderId="21" xfId="0" applyFont="1" applyFill="1" applyBorder="1" applyAlignment="1">
      <alignment horizontal="center" vertical="center" wrapText="1"/>
    </xf>
    <xf numFmtId="0" fontId="58" fillId="10" borderId="38" xfId="0" applyFont="1" applyFill="1" applyBorder="1" applyAlignment="1">
      <alignment horizontal="center" vertical="center" wrapText="1"/>
    </xf>
    <xf numFmtId="0" fontId="58" fillId="10" borderId="67" xfId="0" applyFont="1" applyFill="1" applyBorder="1" applyAlignment="1">
      <alignment horizontal="center" vertical="center" wrapText="1"/>
    </xf>
    <xf numFmtId="0" fontId="58" fillId="10" borderId="8" xfId="0" applyFont="1" applyFill="1" applyBorder="1" applyAlignment="1">
      <alignment horizontal="center" vertical="center" wrapText="1"/>
    </xf>
    <xf numFmtId="0" fontId="58" fillId="10" borderId="17" xfId="0" applyFont="1" applyFill="1" applyBorder="1" applyAlignment="1">
      <alignment horizontal="center" vertical="center" wrapText="1"/>
    </xf>
    <xf numFmtId="0" fontId="58" fillId="10" borderId="61" xfId="0" applyFont="1" applyFill="1" applyBorder="1" applyAlignment="1">
      <alignment horizontal="center" vertical="center" wrapText="1"/>
    </xf>
    <xf numFmtId="0" fontId="58" fillId="10" borderId="37" xfId="0" applyFont="1" applyFill="1" applyBorder="1" applyAlignment="1">
      <alignment horizontal="center" vertical="center" wrapText="1"/>
    </xf>
    <xf numFmtId="0" fontId="58" fillId="10" borderId="15" xfId="0" applyFont="1" applyFill="1" applyBorder="1" applyAlignment="1">
      <alignment horizontal="center" vertical="center" wrapText="1"/>
    </xf>
    <xf numFmtId="0" fontId="58" fillId="10" borderId="19" xfId="0" applyFont="1" applyFill="1" applyBorder="1" applyAlignment="1">
      <alignment horizontal="center" vertical="center" wrapText="1"/>
    </xf>
    <xf numFmtId="0" fontId="10" fillId="16" borderId="21" xfId="0" applyFont="1" applyFill="1" applyBorder="1" applyAlignment="1">
      <alignment horizontal="center" vertical="center" wrapText="1"/>
    </xf>
    <xf numFmtId="0" fontId="10" fillId="16" borderId="18" xfId="0" applyFont="1" applyFill="1" applyBorder="1" applyAlignment="1">
      <alignment horizontal="center" vertical="center" wrapText="1"/>
    </xf>
    <xf numFmtId="0" fontId="45" fillId="22" borderId="39" xfId="0" applyFont="1" applyFill="1" applyBorder="1" applyAlignment="1">
      <alignment horizontal="center" vertical="center"/>
    </xf>
    <xf numFmtId="0" fontId="45" fillId="22" borderId="40" xfId="0" applyFont="1" applyFill="1" applyBorder="1" applyAlignment="1">
      <alignment horizontal="center" vertical="center"/>
    </xf>
    <xf numFmtId="0" fontId="22" fillId="28" borderId="20" xfId="0" applyFont="1" applyFill="1" applyBorder="1" applyAlignment="1">
      <alignment horizontal="center"/>
    </xf>
    <xf numFmtId="0" fontId="22" fillId="28" borderId="35" xfId="0" applyFont="1" applyFill="1" applyBorder="1" applyAlignment="1">
      <alignment horizontal="center"/>
    </xf>
    <xf numFmtId="0" fontId="22" fillId="29" borderId="20" xfId="0" applyFont="1" applyFill="1" applyBorder="1" applyAlignment="1">
      <alignment horizontal="center"/>
    </xf>
    <xf numFmtId="0" fontId="22" fillId="29" borderId="35" xfId="0" applyFont="1" applyFill="1" applyBorder="1" applyAlignment="1">
      <alignment horizontal="center"/>
    </xf>
    <xf numFmtId="0" fontId="22" fillId="26" borderId="20" xfId="0" applyFont="1" applyFill="1" applyBorder="1" applyAlignment="1">
      <alignment horizontal="center"/>
    </xf>
    <xf numFmtId="0" fontId="22" fillId="26" borderId="61" xfId="0" applyFont="1" applyFill="1" applyBorder="1" applyAlignment="1">
      <alignment horizontal="center"/>
    </xf>
    <xf numFmtId="0" fontId="22" fillId="24" borderId="20" xfId="0" applyFont="1" applyFill="1" applyBorder="1" applyAlignment="1">
      <alignment horizontal="center"/>
    </xf>
    <xf numFmtId="0" fontId="22" fillId="24" borderId="35" xfId="0" applyFont="1" applyFill="1" applyBorder="1" applyAlignment="1">
      <alignment horizontal="center"/>
    </xf>
    <xf numFmtId="0" fontId="1" fillId="28" borderId="21" xfId="0" applyFont="1" applyFill="1" applyBorder="1" applyAlignment="1">
      <alignment horizontal="center"/>
    </xf>
    <xf numFmtId="0" fontId="2" fillId="28" borderId="36" xfId="0" applyFont="1" applyFill="1" applyBorder="1" applyAlignment="1">
      <alignment horizontal="center"/>
    </xf>
    <xf numFmtId="0" fontId="1" fillId="29" borderId="21" xfId="0" applyFont="1" applyFill="1" applyBorder="1" applyAlignment="1">
      <alignment horizontal="center"/>
    </xf>
    <xf numFmtId="0" fontId="2" fillId="29" borderId="36" xfId="0" applyFont="1" applyFill="1" applyBorder="1" applyAlignment="1">
      <alignment horizontal="center"/>
    </xf>
    <xf numFmtId="0" fontId="1" fillId="26" borderId="21" xfId="0" applyFont="1" applyFill="1" applyBorder="1" applyAlignment="1">
      <alignment horizontal="center"/>
    </xf>
    <xf numFmtId="0" fontId="2" fillId="26" borderId="37" xfId="0" applyFont="1" applyFill="1" applyBorder="1" applyAlignment="1">
      <alignment horizontal="center"/>
    </xf>
    <xf numFmtId="0" fontId="2" fillId="24" borderId="21" xfId="0" applyFont="1" applyFill="1" applyBorder="1" applyAlignment="1">
      <alignment horizontal="center"/>
    </xf>
    <xf numFmtId="0" fontId="2" fillId="24" borderId="36" xfId="0" applyFont="1" applyFill="1" applyBorder="1" applyAlignment="1">
      <alignment horizontal="center"/>
    </xf>
    <xf numFmtId="0" fontId="45" fillId="18" borderId="20" xfId="0" applyFont="1" applyFill="1" applyBorder="1" applyAlignment="1">
      <alignment horizontal="center" vertical="center"/>
    </xf>
    <xf numFmtId="0" fontId="45" fillId="18" borderId="35" xfId="0" applyFont="1" applyFill="1" applyBorder="1" applyAlignment="1">
      <alignment horizontal="center" vertical="center"/>
    </xf>
    <xf numFmtId="0" fontId="45" fillId="18" borderId="21" xfId="0" applyFont="1" applyFill="1" applyBorder="1" applyAlignment="1">
      <alignment horizontal="center" vertical="center"/>
    </xf>
    <xf numFmtId="0" fontId="45" fillId="18" borderId="36" xfId="0" applyFont="1" applyFill="1" applyBorder="1" applyAlignment="1">
      <alignment horizontal="center" vertical="center"/>
    </xf>
    <xf numFmtId="0" fontId="46" fillId="23" borderId="20" xfId="0" applyNumberFormat="1" applyFont="1" applyFill="1" applyBorder="1" applyAlignment="1">
      <alignment horizontal="center" vertical="center"/>
    </xf>
    <xf numFmtId="0" fontId="46" fillId="23" borderId="35" xfId="0" applyNumberFormat="1" applyFont="1" applyFill="1" applyBorder="1" applyAlignment="1">
      <alignment horizontal="center" vertical="center"/>
    </xf>
    <xf numFmtId="0" fontId="46" fillId="23" borderId="21" xfId="0" applyNumberFormat="1" applyFont="1" applyFill="1" applyBorder="1" applyAlignment="1">
      <alignment horizontal="center" vertical="center"/>
    </xf>
    <xf numFmtId="0" fontId="46" fillId="23" borderId="36" xfId="0" applyNumberFormat="1" applyFont="1" applyFill="1" applyBorder="1" applyAlignment="1">
      <alignment horizontal="center" vertical="center"/>
    </xf>
    <xf numFmtId="0" fontId="45" fillId="19" borderId="20" xfId="0" applyFont="1" applyFill="1" applyBorder="1" applyAlignment="1">
      <alignment horizontal="center" vertical="center"/>
    </xf>
    <xf numFmtId="0" fontId="45" fillId="19" borderId="35" xfId="0" applyFont="1" applyFill="1" applyBorder="1" applyAlignment="1">
      <alignment horizontal="center" vertical="center"/>
    </xf>
    <xf numFmtId="0" fontId="45" fillId="19" borderId="21" xfId="0" applyFont="1" applyFill="1" applyBorder="1" applyAlignment="1">
      <alignment horizontal="center" vertical="center"/>
    </xf>
    <xf numFmtId="0" fontId="45" fillId="19" borderId="36" xfId="0" applyFont="1" applyFill="1" applyBorder="1" applyAlignment="1">
      <alignment horizontal="center" vertical="center"/>
    </xf>
    <xf numFmtId="0" fontId="45" fillId="27" borderId="20" xfId="0" applyFont="1" applyFill="1" applyBorder="1" applyAlignment="1">
      <alignment horizontal="center" vertical="center"/>
    </xf>
    <xf numFmtId="0" fontId="45" fillId="27" borderId="35" xfId="0" applyFont="1" applyFill="1" applyBorder="1" applyAlignment="1">
      <alignment horizontal="center" vertical="center"/>
    </xf>
    <xf numFmtId="0" fontId="45" fillId="27" borderId="21" xfId="0" applyFont="1" applyFill="1" applyBorder="1" applyAlignment="1">
      <alignment horizontal="center" vertical="center"/>
    </xf>
    <xf numFmtId="0" fontId="45" fillId="27" borderId="36" xfId="0" applyFont="1" applyFill="1" applyBorder="1" applyAlignment="1">
      <alignment horizontal="center" vertical="center"/>
    </xf>
    <xf numFmtId="0" fontId="1" fillId="15" borderId="21" xfId="0" applyFont="1" applyFill="1" applyBorder="1" applyAlignment="1">
      <alignment horizontal="center"/>
    </xf>
    <xf numFmtId="0" fontId="2" fillId="15" borderId="36" xfId="0" applyFont="1" applyFill="1" applyBorder="1" applyAlignment="1">
      <alignment horizontal="center"/>
    </xf>
    <xf numFmtId="0" fontId="1" fillId="16" borderId="21" xfId="0" applyFont="1" applyFill="1" applyBorder="1" applyAlignment="1">
      <alignment horizontal="center"/>
    </xf>
    <xf numFmtId="0" fontId="2" fillId="16" borderId="36" xfId="0" applyFont="1" applyFill="1" applyBorder="1" applyAlignment="1">
      <alignment horizontal="center"/>
    </xf>
    <xf numFmtId="0" fontId="45" fillId="20" borderId="20" xfId="0" applyFont="1" applyFill="1" applyBorder="1" applyAlignment="1">
      <alignment horizontal="center" vertical="center"/>
    </xf>
    <xf numFmtId="0" fontId="45" fillId="20" borderId="35" xfId="0" applyFont="1" applyFill="1" applyBorder="1" applyAlignment="1">
      <alignment horizontal="center" vertical="center"/>
    </xf>
    <xf numFmtId="0" fontId="45" fillId="20" borderId="21" xfId="0" applyFont="1" applyFill="1" applyBorder="1" applyAlignment="1">
      <alignment horizontal="center" vertical="center"/>
    </xf>
    <xf numFmtId="0" fontId="45" fillId="20" borderId="36" xfId="0" applyFont="1" applyFill="1" applyBorder="1" applyAlignment="1">
      <alignment horizontal="center" vertical="center"/>
    </xf>
    <xf numFmtId="0" fontId="45" fillId="21" borderId="20" xfId="0" applyFont="1" applyFill="1" applyBorder="1" applyAlignment="1">
      <alignment horizontal="center" vertical="center"/>
    </xf>
    <xf numFmtId="0" fontId="45" fillId="21" borderId="35" xfId="0" applyFont="1" applyFill="1" applyBorder="1" applyAlignment="1">
      <alignment horizontal="center" vertical="center"/>
    </xf>
    <xf numFmtId="0" fontId="45" fillId="21" borderId="21" xfId="0" applyFont="1" applyFill="1" applyBorder="1" applyAlignment="1">
      <alignment horizontal="center" vertical="center"/>
    </xf>
    <xf numFmtId="0" fontId="45" fillId="21" borderId="36" xfId="0" applyFont="1" applyFill="1" applyBorder="1" applyAlignment="1">
      <alignment horizontal="center" vertical="center"/>
    </xf>
    <xf numFmtId="0" fontId="22" fillId="16" borderId="20" xfId="0" applyFont="1" applyFill="1" applyBorder="1" applyAlignment="1">
      <alignment horizontal="center"/>
    </xf>
    <xf numFmtId="0" fontId="22" fillId="16" borderId="35" xfId="0" applyFont="1" applyFill="1" applyBorder="1" applyAlignment="1">
      <alignment horizontal="center"/>
    </xf>
    <xf numFmtId="0" fontId="22" fillId="15" borderId="20" xfId="0" applyFont="1" applyFill="1" applyBorder="1" applyAlignment="1">
      <alignment horizontal="center"/>
    </xf>
    <xf numFmtId="0" fontId="22" fillId="15" borderId="35" xfId="0" applyFont="1" applyFill="1" applyBorder="1" applyAlignment="1">
      <alignment horizontal="center"/>
    </xf>
    <xf numFmtId="0" fontId="22" fillId="30" borderId="20" xfId="0" applyFont="1" applyFill="1" applyBorder="1" applyAlignment="1">
      <alignment horizontal="center"/>
    </xf>
    <xf numFmtId="0" fontId="22" fillId="30" borderId="35" xfId="0" applyFont="1" applyFill="1" applyBorder="1" applyAlignment="1">
      <alignment horizontal="center"/>
    </xf>
    <xf numFmtId="0" fontId="1" fillId="30" borderId="21" xfId="0" applyFont="1" applyFill="1" applyBorder="1" applyAlignment="1">
      <alignment horizontal="center"/>
    </xf>
    <xf numFmtId="0" fontId="2" fillId="30" borderId="36" xfId="0" applyFont="1" applyFill="1" applyBorder="1" applyAlignment="1">
      <alignment horizontal="center"/>
    </xf>
    <xf numFmtId="0" fontId="10" fillId="23" borderId="21" xfId="0" applyFont="1" applyFill="1" applyBorder="1" applyAlignment="1">
      <alignment horizontal="center" vertical="center" wrapText="1"/>
    </xf>
    <xf numFmtId="0" fontId="10" fillId="23" borderId="18" xfId="0" applyFont="1" applyFill="1" applyBorder="1" applyAlignment="1">
      <alignment horizontal="center" vertical="center" wrapText="1"/>
    </xf>
    <xf numFmtId="0" fontId="10" fillId="29" borderId="21" xfId="0" applyFont="1" applyFill="1" applyBorder="1" applyAlignment="1">
      <alignment horizontal="center" vertical="center" wrapText="1"/>
    </xf>
    <xf numFmtId="0" fontId="10" fillId="29" borderId="18" xfId="0" applyFont="1" applyFill="1" applyBorder="1" applyAlignment="1">
      <alignment horizontal="center" vertical="center" wrapText="1"/>
    </xf>
    <xf numFmtId="0" fontId="10" fillId="26" borderId="21" xfId="0" applyFont="1" applyFill="1" applyBorder="1" applyAlignment="1">
      <alignment horizontal="center" vertical="center" wrapText="1"/>
    </xf>
    <xf numFmtId="0" fontId="10" fillId="26" borderId="18" xfId="0" applyFont="1" applyFill="1" applyBorder="1" applyAlignment="1">
      <alignment horizontal="center" vertical="center" wrapText="1"/>
    </xf>
    <xf numFmtId="0" fontId="10" fillId="24" borderId="21" xfId="0" applyFont="1" applyFill="1" applyBorder="1" applyAlignment="1">
      <alignment horizontal="center" vertical="center" wrapText="1"/>
    </xf>
    <xf numFmtId="0" fontId="10" fillId="24" borderId="18" xfId="0" applyFont="1" applyFill="1" applyBorder="1" applyAlignment="1">
      <alignment horizontal="center" vertical="center" wrapText="1"/>
    </xf>
    <xf numFmtId="0" fontId="10" fillId="30" borderId="21" xfId="0" applyFont="1" applyFill="1" applyBorder="1" applyAlignment="1">
      <alignment horizontal="center" vertical="center" wrapText="1"/>
    </xf>
    <xf numFmtId="0" fontId="10" fillId="30" borderId="18" xfId="0" applyFont="1" applyFill="1" applyBorder="1" applyAlignment="1">
      <alignment horizontal="center" vertical="center" wrapText="1"/>
    </xf>
    <xf numFmtId="9" fontId="4" fillId="0" borderId="0" xfId="0" applyNumberFormat="1" applyFont="1"/>
  </cellXfs>
  <cellStyles count="2">
    <cellStyle name="Hyperlink" xfId="1" builtinId="8"/>
    <cellStyle name="Standard" xfId="0" builtinId="0"/>
  </cellStyles>
  <dxfs count="5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8A3CC4"/>
      <color rgb="FF66FFCC"/>
      <color rgb="FF8AD6B4"/>
      <color rgb="FFCC66FF"/>
      <color rgb="FF59A216"/>
      <color rgb="FFF7DB31"/>
      <color rgb="FF6DC71B"/>
      <color rgb="FFA365D1"/>
      <color rgb="FFFBD753"/>
      <color rgb="FF934BC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('Result of your Estimation'!$F$18:$I$18,'Result of your Estimation'!$K$18:$N$18)</c:f>
              <c:numCache>
                <c:formatCode>#,##0</c:formatCode>
                <c:ptCount val="8"/>
                <c:pt idx="0">
                  <c:v>2145.8582625345584</c:v>
                </c:pt>
                <c:pt idx="1">
                  <c:v>5121.5262502734549</c:v>
                </c:pt>
                <c:pt idx="2">
                  <c:v>16788.133159824825</c:v>
                </c:pt>
                <c:pt idx="3">
                  <c:v>26787.965261703415</c:v>
                </c:pt>
                <c:pt idx="4">
                  <c:v>33454.614067940536</c:v>
                </c:pt>
                <c:pt idx="5">
                  <c:v>38454.597338960601</c:v>
                </c:pt>
                <c:pt idx="6">
                  <c:v>38454.597338960601</c:v>
                </c:pt>
                <c:pt idx="7">
                  <c:v>38454.597338960601</c:v>
                </c:pt>
              </c:numCache>
            </c:numRef>
          </c:val>
        </c:ser>
        <c:ser>
          <c:idx val="1"/>
          <c:order val="1"/>
          <c:tx>
            <c:v>Income</c:v>
          </c:tx>
          <c:spPr>
            <a:solidFill>
              <a:srgbClr val="6DC71B"/>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('Result of your Estimation'!$F$30:$I$30,'Result of your Estimation'!$K$30:$N$30)</c:f>
              <c:numCache>
                <c:formatCode>#,##0\ "€"</c:formatCode>
                <c:ptCount val="8"/>
                <c:pt idx="0">
                  <c:v>0</c:v>
                </c:pt>
                <c:pt idx="1">
                  <c:v>0</c:v>
                </c:pt>
                <c:pt idx="2">
                  <c:v>0</c:v>
                </c:pt>
                <c:pt idx="3">
                  <c:v>0</c:v>
                </c:pt>
                <c:pt idx="4">
                  <c:v>0</c:v>
                </c:pt>
                <c:pt idx="5">
                  <c:v>0</c:v>
                </c:pt>
                <c:pt idx="6">
                  <c:v>0</c:v>
                </c:pt>
                <c:pt idx="7">
                  <c:v>0</c:v>
                </c:pt>
              </c:numCache>
            </c:numRef>
          </c:val>
        </c:ser>
        <c:ser>
          <c:idx val="2"/>
          <c:order val="2"/>
          <c:tx>
            <c:v>Expenses</c:v>
          </c:tx>
          <c:spPr>
            <a:solidFill>
              <a:srgbClr val="FF0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('Result of your Estimation'!$F$47:$I$47,'Result of your Estimation'!$K$47:$N$47)</c:f>
              <c:numCache>
                <c:formatCode>#,##0\ "€"</c:formatCode>
                <c:ptCount val="8"/>
                <c:pt idx="0">
                  <c:v>123682.37574787604</c:v>
                </c:pt>
                <c:pt idx="1">
                  <c:v>155768.6457875082</c:v>
                </c:pt>
                <c:pt idx="2">
                  <c:v>151112.64399479475</c:v>
                </c:pt>
                <c:pt idx="3">
                  <c:v>141412.6389578511</c:v>
                </c:pt>
                <c:pt idx="4">
                  <c:v>151612.63842203823</c:v>
                </c:pt>
                <c:pt idx="5">
                  <c:v>136762.63792016881</c:v>
                </c:pt>
                <c:pt idx="6">
                  <c:v>136762.63792016881</c:v>
                </c:pt>
                <c:pt idx="7">
                  <c:v>136762.63792016881</c:v>
                </c:pt>
              </c:numCache>
            </c:numRef>
          </c:val>
        </c:ser>
        <c:ser>
          <c:idx val="3"/>
          <c:order val="3"/>
          <c:tx>
            <c:v>Result</c:v>
          </c:tx>
          <c:spPr>
            <a:solidFill>
              <a:srgbClr val="FFC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('Result of your Estimation'!$F$49:$I$49,'Result of your Estimation'!$K$49:$N$49)</c:f>
              <c:numCache>
                <c:formatCode>#,##0\ "€"</c:formatCode>
                <c:ptCount val="8"/>
                <c:pt idx="0">
                  <c:v>-123682.37574787604</c:v>
                </c:pt>
                <c:pt idx="1">
                  <c:v>-155768.6457875082</c:v>
                </c:pt>
                <c:pt idx="2">
                  <c:v>-151112.64399479475</c:v>
                </c:pt>
                <c:pt idx="3">
                  <c:v>-141412.6389578511</c:v>
                </c:pt>
                <c:pt idx="4">
                  <c:v>-151612.63842203823</c:v>
                </c:pt>
                <c:pt idx="5">
                  <c:v>-136762.63792016881</c:v>
                </c:pt>
                <c:pt idx="6">
                  <c:v>-136762.63792016881</c:v>
                </c:pt>
                <c:pt idx="7">
                  <c:v>-136762.63792016881</c:v>
                </c:pt>
              </c:numCache>
            </c:numRef>
          </c:val>
        </c:ser>
        <c:dLbls>
          <c:showLegendKey val="0"/>
          <c:showVal val="0"/>
          <c:showCatName val="0"/>
          <c:showSerName val="0"/>
          <c:showPercent val="0"/>
          <c:showBubbleSize val="0"/>
        </c:dLbls>
        <c:gapWidth val="150"/>
        <c:axId val="125903360"/>
        <c:axId val="124340480"/>
      </c:barChart>
      <c:catAx>
        <c:axId val="125903360"/>
        <c:scaling>
          <c:orientation val="minMax"/>
        </c:scaling>
        <c:delete val="0"/>
        <c:axPos val="b"/>
        <c:majorTickMark val="out"/>
        <c:minorTickMark val="none"/>
        <c:tickLblPos val="nextTo"/>
        <c:crossAx val="124340480"/>
        <c:crosses val="autoZero"/>
        <c:auto val="1"/>
        <c:lblAlgn val="ctr"/>
        <c:lblOffset val="100"/>
        <c:noMultiLvlLbl val="0"/>
      </c:catAx>
      <c:valAx>
        <c:axId val="124340480"/>
        <c:scaling>
          <c:orientation val="minMax"/>
        </c:scaling>
        <c:delete val="0"/>
        <c:axPos val="l"/>
        <c:majorGridlines/>
        <c:numFmt formatCode="#,##0" sourceLinked="1"/>
        <c:majorTickMark val="out"/>
        <c:minorTickMark val="none"/>
        <c:tickLblPos val="nextTo"/>
        <c:crossAx val="125903360"/>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(We)</c:v>
          </c:tx>
          <c:spPr>
            <a:ln>
              <a:solidFill>
                <a:srgbClr val="6DC71B"/>
              </a:solidFill>
            </a:ln>
          </c:spPr>
          <c:marker>
            <c:symbol val="none"/>
          </c:marker>
          <c:val>
            <c:numRef>
              <c:f>'Comparision successful Networks'!$Q$20:$Q$25</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29027072"/>
        <c:axId val="127586240"/>
      </c:lineChart>
      <c:catAx>
        <c:axId val="129027072"/>
        <c:scaling>
          <c:orientation val="minMax"/>
        </c:scaling>
        <c:delete val="0"/>
        <c:axPos val="b"/>
        <c:numFmt formatCode="General" sourceLinked="1"/>
        <c:majorTickMark val="out"/>
        <c:minorTickMark val="none"/>
        <c:tickLblPos val="nextTo"/>
        <c:crossAx val="127586240"/>
        <c:crosses val="autoZero"/>
        <c:auto val="1"/>
        <c:lblAlgn val="ctr"/>
        <c:lblOffset val="100"/>
        <c:noMultiLvlLbl val="0"/>
      </c:catAx>
      <c:valAx>
        <c:axId val="127586240"/>
        <c:scaling>
          <c:orientation val="minMax"/>
        </c:scaling>
        <c:delete val="0"/>
        <c:axPos val="l"/>
        <c:majorGridlines/>
        <c:numFmt formatCode="General" sourceLinked="1"/>
        <c:majorTickMark val="out"/>
        <c:minorTickMark val="none"/>
        <c:tickLblPos val="nextTo"/>
        <c:crossAx val="129027072"/>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7DB31"/>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7"/>
          <c:order val="6"/>
          <c:tx>
            <c:v>connect (You)</c:v>
          </c:tx>
          <c:spPr>
            <a:ln>
              <a:solidFill>
                <a:schemeClr val="accent6">
                  <a:lumMod val="75000"/>
                </a:schemeClr>
              </a:solidFill>
            </a:ln>
          </c:spPr>
          <c:marker>
            <c:symbol val="none"/>
          </c:marker>
          <c:val>
            <c:numRef>
              <c:f>'Comparision successful Networks'!$O$4:$O$25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ser>
          <c:idx val="8"/>
          <c:order val="7"/>
          <c:tx>
            <c:v>connect Realistic</c:v>
          </c:tx>
          <c:spPr>
            <a:ln>
              <a:solidFill>
                <a:srgbClr val="6DC71B"/>
              </a:solidFill>
            </a:ln>
          </c:spPr>
          <c:marker>
            <c:symbol val="none"/>
          </c:marker>
          <c:val>
            <c:numRef>
              <c:f>'Comparision successful Networks'!$Q$4:$Q$25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5.5007231534220366E-2</c:v>
                </c:pt>
                <c:pt idx="17" formatCode="#,##0.00">
                  <c:v>0.26211723812496734</c:v>
                </c:pt>
                <c:pt idx="18" formatCode="#,##0.00">
                  <c:v>2.0163530394777931</c:v>
                </c:pt>
                <c:pt idx="19" formatCode="#,##0.00">
                  <c:v>5.8912056794336474</c:v>
                </c:pt>
                <c:pt idx="20" formatCode="#,##0.00">
                  <c:v>14.010941670429698</c:v>
                </c:pt>
                <c:pt idx="21" formatCode="#,##0.00">
                  <c:v>25.294677306404136</c:v>
                </c:pt>
              </c:numCache>
            </c:numRef>
          </c:val>
          <c:smooth val="0"/>
        </c:ser>
        <c:ser>
          <c:idx val="6"/>
          <c:order val="8"/>
          <c:tx>
            <c:v>connect Cautious</c:v>
          </c:tx>
          <c:spPr>
            <a:ln>
              <a:solidFill>
                <a:srgbClr val="CC66FF"/>
              </a:solidFill>
            </a:ln>
          </c:spPr>
          <c:marker>
            <c:symbol val="none"/>
          </c:marker>
          <c:val>
            <c:numRef>
              <c:f>'Comparision successful Networks'!$S$4:$S$25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3.3585002128095578E-2</c:v>
                </c:pt>
                <c:pt idx="17" formatCode="#,##0.00">
                  <c:v>0.10428894296394459</c:v>
                </c:pt>
                <c:pt idx="18" formatCode="#,##0.00">
                  <c:v>0.41549386781715836</c:v>
                </c:pt>
                <c:pt idx="19" formatCode="#,##0.00">
                  <c:v>0.9093652633005842</c:v>
                </c:pt>
                <c:pt idx="20" formatCode="#,##0.00">
                  <c:v>2.9351818902063194</c:v>
                </c:pt>
                <c:pt idx="21" formatCode="#,##0.00">
                  <c:v>5.7482580720707679</c:v>
                </c:pt>
              </c:numCache>
            </c:numRef>
          </c:val>
          <c:smooth val="0"/>
        </c:ser>
        <c:ser>
          <c:idx val="9"/>
          <c:order val="9"/>
          <c:tx>
            <c:v>connect Optimistic</c:v>
          </c:tx>
          <c:spPr>
            <a:ln>
              <a:solidFill>
                <a:srgbClr val="66FFCC"/>
              </a:solidFill>
            </a:ln>
          </c:spPr>
          <c:marker>
            <c:symbol val="none"/>
          </c:marker>
          <c:val>
            <c:numRef>
              <c:f>'Comparision successful Networks'!$U$4:$U$25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6.9407414864748163E-2</c:v>
                </c:pt>
                <c:pt idx="17" formatCode="#,##0.00">
                  <c:v>0.47735846255868269</c:v>
                </c:pt>
                <c:pt idx="18" formatCode="#,##0.00">
                  <c:v>4.6260310702250429</c:v>
                </c:pt>
                <c:pt idx="19" formatCode="#,##0.00">
                  <c:v>12.934813317469544</c:v>
                </c:pt>
                <c:pt idx="20" formatCode="#,##0.00">
                  <c:v>26.667311902213129</c:v>
                </c:pt>
                <c:pt idx="21" formatCode="#,##0.00">
                  <c:v>46.166558381533548</c:v>
                </c:pt>
              </c:numCache>
            </c:numRef>
          </c:val>
          <c:smooth val="0"/>
        </c:ser>
        <c:ser>
          <c:idx val="10"/>
          <c:order val="10"/>
          <c:tx>
            <c:v>connect Pessimistic</c:v>
          </c:tx>
          <c:spPr>
            <a:ln>
              <a:solidFill>
                <a:schemeClr val="accent6">
                  <a:lumMod val="75000"/>
                </a:schemeClr>
              </a:solidFill>
            </a:ln>
          </c:spPr>
          <c:marker>
            <c:symbol val="none"/>
          </c:marker>
          <c:val>
            <c:numRef>
              <c:f>'Comparision successful Networks'!$W$4:$W$25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1.2387765095850408E-2</c:v>
                </c:pt>
                <c:pt idx="17" formatCode="#,##0.00">
                  <c:v>2.4531847214948582E-2</c:v>
                </c:pt>
                <c:pt idx="18" formatCode="#,##0.00">
                  <c:v>3.8401922706784102E-2</c:v>
                </c:pt>
                <c:pt idx="19" formatCode="#,##0.00">
                  <c:v>0.1095017068687381</c:v>
                </c:pt>
                <c:pt idx="20" formatCode="#,##0.00">
                  <c:v>0.21291630468873826</c:v>
                </c:pt>
                <c:pt idx="21" formatCode="#,##0.00">
                  <c:v>0.30923496707116765</c:v>
                </c:pt>
              </c:numCache>
            </c:numRef>
          </c:val>
          <c:smooth val="0"/>
        </c:ser>
        <c:ser>
          <c:idx val="11"/>
          <c:order val="11"/>
          <c:tx>
            <c:v>connect Worst Case</c:v>
          </c:tx>
          <c:spPr>
            <a:ln>
              <a:solidFill>
                <a:srgbClr val="C00000"/>
              </a:solidFill>
            </a:ln>
          </c:spPr>
          <c:marker>
            <c:symbol val="none"/>
          </c:marker>
          <c:val>
            <c:numRef>
              <c:f>'Comparision successful Networks'!$Y$4:$Y$25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1.0865521167239923E-2</c:v>
                </c:pt>
                <c:pt idx="17" formatCode="#,##0.00">
                  <c:v>1.9524335023017342E-2</c:v>
                </c:pt>
                <c:pt idx="18" formatCode="#,##0.00">
                  <c:v>3.0078977575977203E-2</c:v>
                </c:pt>
                <c:pt idx="19" formatCode="#,##0.00">
                  <c:v>9.1586845292634722E-2</c:v>
                </c:pt>
                <c:pt idx="20" formatCode="#,##0.00">
                  <c:v>0.14811168729115032</c:v>
                </c:pt>
                <c:pt idx="21" formatCode="#,##0.00">
                  <c:v>0.19523351423873583</c:v>
                </c:pt>
              </c:numCache>
            </c:numRef>
          </c:val>
          <c:smooth val="0"/>
        </c:ser>
        <c:ser>
          <c:idx val="12"/>
          <c:order val="12"/>
          <c:tx>
            <c:v>connect Possible</c:v>
          </c:tx>
          <c:spPr>
            <a:ln>
              <a:solidFill>
                <a:schemeClr val="accent2">
                  <a:lumMod val="60000"/>
                  <a:lumOff val="40000"/>
                </a:schemeClr>
              </a:solidFill>
            </a:ln>
          </c:spPr>
          <c:marker>
            <c:symbol val="none"/>
          </c:marker>
          <c:val>
            <c:numRef>
              <c:f>'Comparision successful Networks'!$AA$4:$AA$25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9.425171786550926E-2</c:v>
                </c:pt>
                <c:pt idx="17" formatCode="#,##0.00">
                  <c:v>1.66927504603318</c:v>
                </c:pt>
                <c:pt idx="18" formatCode="#,##0.00">
                  <c:v>28.15074155913684</c:v>
                </c:pt>
                <c:pt idx="19" formatCode="#,##0.00">
                  <c:v>86.01261454439053</c:v>
                </c:pt>
                <c:pt idx="20" formatCode="#,##0.00">
                  <c:v>214.84310994454128</c:v>
                </c:pt>
                <c:pt idx="21" formatCode="#,##0.00">
                  <c:v>391.92913196852197</c:v>
                </c:pt>
              </c:numCache>
            </c:numRef>
          </c:val>
          <c:smooth val="0"/>
        </c:ser>
        <c:dLbls>
          <c:showLegendKey val="0"/>
          <c:showVal val="0"/>
          <c:showCatName val="0"/>
          <c:showSerName val="0"/>
          <c:showPercent val="0"/>
          <c:showBubbleSize val="0"/>
        </c:dLbls>
        <c:marker val="1"/>
        <c:smooth val="0"/>
        <c:axId val="128451072"/>
        <c:axId val="128589824"/>
      </c:lineChart>
      <c:catAx>
        <c:axId val="128451072"/>
        <c:scaling>
          <c:orientation val="minMax"/>
        </c:scaling>
        <c:delete val="0"/>
        <c:axPos val="b"/>
        <c:numFmt formatCode="@" sourceLinked="0"/>
        <c:majorTickMark val="out"/>
        <c:minorTickMark val="none"/>
        <c:tickLblPos val="nextTo"/>
        <c:crossAx val="128589824"/>
        <c:crosses val="autoZero"/>
        <c:auto val="1"/>
        <c:lblAlgn val="ctr"/>
        <c:lblOffset val="100"/>
        <c:noMultiLvlLbl val="0"/>
      </c:catAx>
      <c:valAx>
        <c:axId val="128589824"/>
        <c:scaling>
          <c:orientation val="minMax"/>
        </c:scaling>
        <c:delete val="0"/>
        <c:axPos val="l"/>
        <c:majorGridlines/>
        <c:numFmt formatCode="General" sourceLinked="1"/>
        <c:majorTickMark val="out"/>
        <c:minorTickMark val="none"/>
        <c:tickLblPos val="nextTo"/>
        <c:crossAx val="128451072"/>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(Cautious!$F$18:$I$18,Cautious!$K$18:$N$18)</c:f>
              <c:numCache>
                <c:formatCode>#,##0</c:formatCode>
                <c:ptCount val="8"/>
                <c:pt idx="0">
                  <c:v>2145.2140738464004</c:v>
                </c:pt>
                <c:pt idx="1">
                  <c:v>5119.0141529075154</c:v>
                </c:pt>
                <c:pt idx="2">
                  <c:v>19754.748216411252</c:v>
                </c:pt>
                <c:pt idx="3">
                  <c:v>33585.002128095577</c:v>
                </c:pt>
                <c:pt idx="4">
                  <c:v>45989.972966333618</c:v>
                </c:pt>
                <c:pt idx="5">
                  <c:v>61085.634288196627</c:v>
                </c:pt>
                <c:pt idx="6">
                  <c:v>78518.267743620163</c:v>
                </c:pt>
                <c:pt idx="7">
                  <c:v>104288.94296394459</c:v>
                </c:pt>
              </c:numCache>
            </c:numRef>
          </c:val>
        </c:ser>
        <c:ser>
          <c:idx val="1"/>
          <c:order val="1"/>
          <c:tx>
            <c:v>Income</c:v>
          </c:tx>
          <c:spPr>
            <a:solidFill>
              <a:srgbClr val="6DC71B"/>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(Cautious!$F$30:$I$30,Cautious!$K$30:$N$30)</c:f>
              <c:numCache>
                <c:formatCode>#,##0\ "€"</c:formatCode>
                <c:ptCount val="8"/>
                <c:pt idx="0">
                  <c:v>0</c:v>
                </c:pt>
                <c:pt idx="1">
                  <c:v>0</c:v>
                </c:pt>
                <c:pt idx="2">
                  <c:v>13374.565318442659</c:v>
                </c:pt>
                <c:pt idx="3">
                  <c:v>53135.675125748952</c:v>
                </c:pt>
                <c:pt idx="4">
                  <c:v>99415.652394041841</c:v>
                </c:pt>
                <c:pt idx="5">
                  <c:v>180238.60014851089</c:v>
                </c:pt>
                <c:pt idx="6">
                  <c:v>294766.40944624227</c:v>
                </c:pt>
                <c:pt idx="7">
                  <c:v>468249.28718482063</c:v>
                </c:pt>
              </c:numCache>
            </c:numRef>
          </c:val>
        </c:ser>
        <c:ser>
          <c:idx val="2"/>
          <c:order val="2"/>
          <c:tx>
            <c:v>Expenses</c:v>
          </c:tx>
          <c:spPr>
            <a:solidFill>
              <a:srgbClr val="FF0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(Cautious!$F$47:$I$47,Cautious!$K$47:$N$47)</c:f>
              <c:numCache>
                <c:formatCode>#,##0\ "€"</c:formatCode>
                <c:ptCount val="8"/>
                <c:pt idx="0">
                  <c:v>125482.35642221538</c:v>
                </c:pt>
                <c:pt idx="1">
                  <c:v>157568.57042458723</c:v>
                </c:pt>
                <c:pt idx="2">
                  <c:v>159213.44075424972</c:v>
                </c:pt>
                <c:pt idx="3">
                  <c:v>169333.07109776308</c:v>
                </c:pt>
                <c:pt idx="4">
                  <c:v>218896.92012181677</c:v>
                </c:pt>
                <c:pt idx="5">
                  <c:v>257069.93182395905</c:v>
                </c:pt>
                <c:pt idx="6">
                  <c:v>340230.63492012443</c:v>
                </c:pt>
                <c:pt idx="7">
                  <c:v>458151.76699771051</c:v>
                </c:pt>
              </c:numCache>
            </c:numRef>
          </c:val>
        </c:ser>
        <c:ser>
          <c:idx val="3"/>
          <c:order val="3"/>
          <c:tx>
            <c:v>Result</c:v>
          </c:tx>
          <c:spPr>
            <a:solidFill>
              <a:srgbClr val="FFC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(Cautious!$F$49:$I$49,Cautious!$K$49:$N$49)</c:f>
              <c:numCache>
                <c:formatCode>#,##0\ "€"</c:formatCode>
                <c:ptCount val="8"/>
                <c:pt idx="0">
                  <c:v>-125482.35642221538</c:v>
                </c:pt>
                <c:pt idx="1">
                  <c:v>-157568.57042458723</c:v>
                </c:pt>
                <c:pt idx="2">
                  <c:v>-145838.87543580707</c:v>
                </c:pt>
                <c:pt idx="3">
                  <c:v>-116197.39597201413</c:v>
                </c:pt>
                <c:pt idx="4">
                  <c:v>-119481.26772777493</c:v>
                </c:pt>
                <c:pt idx="5">
                  <c:v>-76831.331675448164</c:v>
                </c:pt>
                <c:pt idx="6">
                  <c:v>-45464.225473882165</c:v>
                </c:pt>
                <c:pt idx="7">
                  <c:v>10097.520187110116</c:v>
                </c:pt>
              </c:numCache>
            </c:numRef>
          </c:val>
        </c:ser>
        <c:dLbls>
          <c:showLegendKey val="0"/>
          <c:showVal val="0"/>
          <c:showCatName val="0"/>
          <c:showSerName val="0"/>
          <c:showPercent val="0"/>
          <c:showBubbleSize val="0"/>
        </c:dLbls>
        <c:gapWidth val="150"/>
        <c:axId val="128454144"/>
        <c:axId val="128572736"/>
      </c:barChart>
      <c:catAx>
        <c:axId val="128454144"/>
        <c:scaling>
          <c:orientation val="minMax"/>
        </c:scaling>
        <c:delete val="0"/>
        <c:axPos val="b"/>
        <c:majorTickMark val="out"/>
        <c:minorTickMark val="none"/>
        <c:tickLblPos val="nextTo"/>
        <c:crossAx val="128572736"/>
        <c:crosses val="autoZero"/>
        <c:auto val="1"/>
        <c:lblAlgn val="ctr"/>
        <c:lblOffset val="100"/>
        <c:noMultiLvlLbl val="0"/>
      </c:catAx>
      <c:valAx>
        <c:axId val="128572736"/>
        <c:scaling>
          <c:orientation val="minMax"/>
        </c:scaling>
        <c:delete val="0"/>
        <c:axPos val="l"/>
        <c:majorGridlines/>
        <c:numFmt formatCode="#,##0" sourceLinked="1"/>
        <c:majorTickMark val="out"/>
        <c:minorTickMark val="none"/>
        <c:tickLblPos val="nextTo"/>
        <c:crossAx val="128454144"/>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(Cautious!$P$18:$S$18,Cautious!$U$18:$W$18)</c:f>
              <c:numCache>
                <c:formatCode>#,##0</c:formatCode>
                <c:ptCount val="7"/>
                <c:pt idx="0">
                  <c:v>142078.64691439606</c:v>
                </c:pt>
                <c:pt idx="1">
                  <c:v>198198.99301344121</c:v>
                </c:pt>
                <c:pt idx="2">
                  <c:v>283367.38288871152</c:v>
                </c:pt>
                <c:pt idx="3">
                  <c:v>415493.86781715835</c:v>
                </c:pt>
                <c:pt idx="4">
                  <c:v>909365.26330058416</c:v>
                </c:pt>
                <c:pt idx="5">
                  <c:v>2935181.8902063193</c:v>
                </c:pt>
                <c:pt idx="6">
                  <c:v>5748258.0720707681</c:v>
                </c:pt>
              </c:numCache>
            </c:numRef>
          </c:val>
        </c:ser>
        <c:ser>
          <c:idx val="1"/>
          <c:order val="1"/>
          <c:tx>
            <c:v>Income</c:v>
          </c:tx>
          <c:spPr>
            <a:solidFill>
              <a:srgbClr val="6DC71B"/>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(Cautious!$P$30:$S$30,Cautious!$U$30:$W$30)</c:f>
              <c:numCache>
                <c:formatCode>#,##0\ "€"</c:formatCode>
                <c:ptCount val="7"/>
                <c:pt idx="0">
                  <c:v>741982.74088197562</c:v>
                </c:pt>
                <c:pt idx="1">
                  <c:v>1178615.690495759</c:v>
                </c:pt>
                <c:pt idx="2">
                  <c:v>1887032.3624787466</c:v>
                </c:pt>
                <c:pt idx="3">
                  <c:v>3058281.1140785804</c:v>
                </c:pt>
                <c:pt idx="4">
                  <c:v>26311702.343998369</c:v>
                </c:pt>
                <c:pt idx="5">
                  <c:v>89270384.9044303</c:v>
                </c:pt>
                <c:pt idx="6">
                  <c:v>230805834.19732502</c:v>
                </c:pt>
              </c:numCache>
            </c:numRef>
          </c:val>
        </c:ser>
        <c:ser>
          <c:idx val="2"/>
          <c:order val="2"/>
          <c:tx>
            <c:v>Expenses</c:v>
          </c:tx>
          <c:spPr>
            <a:solidFill>
              <a:srgbClr val="FF0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(Cautious!$P$47:$S$47,Cautious!$U$47:$W$47)</c:f>
              <c:numCache>
                <c:formatCode>#,##0\ "€"</c:formatCode>
                <c:ptCount val="7"/>
                <c:pt idx="0">
                  <c:v>635460.18323991261</c:v>
                </c:pt>
                <c:pt idx="1">
                  <c:v>918849.38778612833</c:v>
                </c:pt>
                <c:pt idx="2">
                  <c:v>1344831.2535026055</c:v>
                </c:pt>
                <c:pt idx="3">
                  <c:v>2014490.7874278654</c:v>
                </c:pt>
                <c:pt idx="4">
                  <c:v>17730987.327554278</c:v>
                </c:pt>
                <c:pt idx="5">
                  <c:v>47529354.318652876</c:v>
                </c:pt>
                <c:pt idx="6">
                  <c:v>103806321.38869916</c:v>
                </c:pt>
              </c:numCache>
            </c:numRef>
          </c:val>
        </c:ser>
        <c:ser>
          <c:idx val="3"/>
          <c:order val="3"/>
          <c:tx>
            <c:v>Result</c:v>
          </c:tx>
          <c:spPr>
            <a:solidFill>
              <a:srgbClr val="FFC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(Cautious!$P$49:$S$49,Cautious!$U$49:$W$49)</c:f>
              <c:numCache>
                <c:formatCode>#,##0\ "€"</c:formatCode>
                <c:ptCount val="7"/>
                <c:pt idx="0">
                  <c:v>106522.55764206301</c:v>
                </c:pt>
                <c:pt idx="1">
                  <c:v>259766.30270963069</c:v>
                </c:pt>
                <c:pt idx="2">
                  <c:v>542201.10897614108</c:v>
                </c:pt>
                <c:pt idx="3">
                  <c:v>1043790.326650715</c:v>
                </c:pt>
                <c:pt idx="4">
                  <c:v>8580715.0164440908</c:v>
                </c:pt>
                <c:pt idx="5">
                  <c:v>41741030.585777424</c:v>
                </c:pt>
                <c:pt idx="6">
                  <c:v>126999512.80862586</c:v>
                </c:pt>
              </c:numCache>
            </c:numRef>
          </c:val>
        </c:ser>
        <c:dLbls>
          <c:showLegendKey val="0"/>
          <c:showVal val="0"/>
          <c:showCatName val="0"/>
          <c:showSerName val="0"/>
          <c:showPercent val="0"/>
          <c:showBubbleSize val="0"/>
        </c:dLbls>
        <c:gapWidth val="150"/>
        <c:axId val="128737792"/>
        <c:axId val="128569280"/>
      </c:barChart>
      <c:catAx>
        <c:axId val="128737792"/>
        <c:scaling>
          <c:orientation val="minMax"/>
        </c:scaling>
        <c:delete val="0"/>
        <c:axPos val="b"/>
        <c:majorTickMark val="out"/>
        <c:minorTickMark val="none"/>
        <c:tickLblPos val="nextTo"/>
        <c:crossAx val="128569280"/>
        <c:crosses val="autoZero"/>
        <c:auto val="1"/>
        <c:lblAlgn val="ctr"/>
        <c:lblOffset val="100"/>
        <c:noMultiLvlLbl val="0"/>
      </c:catAx>
      <c:valAx>
        <c:axId val="128569280"/>
        <c:scaling>
          <c:orientation val="minMax"/>
        </c:scaling>
        <c:delete val="0"/>
        <c:axPos val="l"/>
        <c:majorGridlines/>
        <c:numFmt formatCode="#,##0" sourceLinked="1"/>
        <c:majorTickMark val="out"/>
        <c:minorTickMark val="none"/>
        <c:tickLblPos val="nextTo"/>
        <c:crossAx val="128737792"/>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(Cautious)</c:v>
          </c:tx>
          <c:spPr>
            <a:ln>
              <a:solidFill>
                <a:srgbClr val="6DC71B"/>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Networks'!$S$4:$S$25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3.3585002128095578E-2</c:v>
                </c:pt>
                <c:pt idx="17" formatCode="#,##0.00">
                  <c:v>0.10428894296394459</c:v>
                </c:pt>
                <c:pt idx="18" formatCode="#,##0.00">
                  <c:v>0.41549386781715836</c:v>
                </c:pt>
                <c:pt idx="19" formatCode="#,##0.00">
                  <c:v>0.9093652633005842</c:v>
                </c:pt>
                <c:pt idx="20" formatCode="#,##0.00">
                  <c:v>2.9351818902063194</c:v>
                </c:pt>
                <c:pt idx="21" formatCode="#,##0.00">
                  <c:v>5.7482580720707679</c:v>
                </c:pt>
              </c:numCache>
            </c:numRef>
          </c:val>
          <c:smooth val="0"/>
        </c:ser>
        <c:ser>
          <c:idx val="7"/>
          <c:order val="7"/>
          <c:tx>
            <c:v>connect (You)</c:v>
          </c:tx>
          <c:spPr>
            <a:ln>
              <a:solidFill>
                <a:schemeClr val="accent6">
                  <a:lumMod val="75000"/>
                </a:schemeClr>
              </a:solidFill>
            </a:ln>
          </c:spPr>
          <c:marker>
            <c:symbol val="none"/>
          </c:marker>
          <c:val>
            <c:numRef>
              <c:f>'Comparision successful Networks'!$O$4:$O$25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28739328"/>
        <c:axId val="128593856"/>
      </c:lineChart>
      <c:catAx>
        <c:axId val="128739328"/>
        <c:scaling>
          <c:orientation val="minMax"/>
        </c:scaling>
        <c:delete val="0"/>
        <c:axPos val="b"/>
        <c:numFmt formatCode="@" sourceLinked="0"/>
        <c:majorTickMark val="out"/>
        <c:minorTickMark val="none"/>
        <c:tickLblPos val="nextTo"/>
        <c:crossAx val="128593856"/>
        <c:crosses val="autoZero"/>
        <c:auto val="1"/>
        <c:lblAlgn val="ctr"/>
        <c:lblOffset val="100"/>
        <c:noMultiLvlLbl val="0"/>
      </c:catAx>
      <c:valAx>
        <c:axId val="128593856"/>
        <c:scaling>
          <c:orientation val="minMax"/>
        </c:scaling>
        <c:delete val="0"/>
        <c:axPos val="l"/>
        <c:majorGridlines/>
        <c:numFmt formatCode="General" sourceLinked="1"/>
        <c:majorTickMark val="out"/>
        <c:minorTickMark val="none"/>
        <c:tickLblPos val="nextTo"/>
        <c:crossAx val="12873932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(Cautious)</c:v>
          </c:tx>
          <c:spPr>
            <a:ln>
              <a:solidFill>
                <a:srgbClr val="6DC71B"/>
              </a:solidFill>
            </a:ln>
          </c:spPr>
          <c:marker>
            <c:symbol val="none"/>
          </c:marker>
          <c:val>
            <c:numRef>
              <c:f>'Comparision successful Networks'!$S$20:$S$25</c:f>
              <c:numCache>
                <c:formatCode>#,##0.00</c:formatCode>
                <c:ptCount val="6"/>
                <c:pt idx="0">
                  <c:v>3.3585002128095578E-2</c:v>
                </c:pt>
                <c:pt idx="1">
                  <c:v>0.10428894296394459</c:v>
                </c:pt>
                <c:pt idx="2">
                  <c:v>0.41549386781715836</c:v>
                </c:pt>
                <c:pt idx="3">
                  <c:v>0.9093652633005842</c:v>
                </c:pt>
                <c:pt idx="4">
                  <c:v>2.9351818902063194</c:v>
                </c:pt>
                <c:pt idx="5">
                  <c:v>5.7482580720707679</c:v>
                </c:pt>
              </c:numCache>
            </c:numRef>
          </c:val>
          <c:smooth val="0"/>
        </c:ser>
        <c:ser>
          <c:idx val="7"/>
          <c:order val="7"/>
          <c:tx>
            <c:v>connect (You)</c:v>
          </c:tx>
          <c:spPr>
            <a:ln>
              <a:solidFill>
                <a:schemeClr val="accent6">
                  <a:lumMod val="75000"/>
                </a:schemeClr>
              </a:solidFill>
            </a:ln>
          </c:spPr>
          <c:marker>
            <c:symbol val="none"/>
          </c:marker>
          <c:val>
            <c:numRef>
              <c:f>'Comparision successful Networks'!$O$20:$O$25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28452608"/>
        <c:axId val="128594432"/>
      </c:lineChart>
      <c:catAx>
        <c:axId val="128452608"/>
        <c:scaling>
          <c:orientation val="minMax"/>
        </c:scaling>
        <c:delete val="0"/>
        <c:axPos val="b"/>
        <c:numFmt formatCode="General" sourceLinked="1"/>
        <c:majorTickMark val="out"/>
        <c:minorTickMark val="none"/>
        <c:tickLblPos val="nextTo"/>
        <c:crossAx val="128594432"/>
        <c:crosses val="autoZero"/>
        <c:auto val="1"/>
        <c:lblAlgn val="ctr"/>
        <c:lblOffset val="100"/>
        <c:noMultiLvlLbl val="0"/>
      </c:catAx>
      <c:valAx>
        <c:axId val="128594432"/>
        <c:scaling>
          <c:orientation val="minMax"/>
        </c:scaling>
        <c:delete val="0"/>
        <c:axPos val="l"/>
        <c:majorGridlines/>
        <c:numFmt formatCode="General" sourceLinked="1"/>
        <c:majorTickMark val="out"/>
        <c:minorTickMark val="none"/>
        <c:tickLblPos val="nextTo"/>
        <c:crossAx val="1284526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(Optimistic!$F$18:$I$18,Optimistic!$K$18:$N$18)</c:f>
              <c:numCache>
                <c:formatCode>#,##0</c:formatCode>
                <c:ptCount val="8"/>
                <c:pt idx="0">
                  <c:v>2145.2140738464004</c:v>
                </c:pt>
                <c:pt idx="1">
                  <c:v>5119.0141529075154</c:v>
                </c:pt>
                <c:pt idx="2">
                  <c:v>32297.677097990789</c:v>
                </c:pt>
                <c:pt idx="3">
                  <c:v>69407.414864748163</c:v>
                </c:pt>
                <c:pt idx="4">
                  <c:v>118517.03135999136</c:v>
                </c:pt>
                <c:pt idx="5">
                  <c:v>186700.46146887477</c:v>
                </c:pt>
                <c:pt idx="6">
                  <c:v>293120.46325769211</c:v>
                </c:pt>
                <c:pt idx="7">
                  <c:v>477358.46255868272</c:v>
                </c:pt>
              </c:numCache>
            </c:numRef>
          </c:val>
        </c:ser>
        <c:ser>
          <c:idx val="1"/>
          <c:order val="1"/>
          <c:tx>
            <c:v>Income</c:v>
          </c:tx>
          <c:spPr>
            <a:solidFill>
              <a:srgbClr val="6DC71B"/>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(Optimistic!$F$30:$I$30,Optimistic!$K$30:$N$30)</c:f>
              <c:numCache>
                <c:formatCode>#,##0\ "€"</c:formatCode>
                <c:ptCount val="8"/>
                <c:pt idx="0">
                  <c:v>0</c:v>
                </c:pt>
                <c:pt idx="1">
                  <c:v>0</c:v>
                </c:pt>
                <c:pt idx="2">
                  <c:v>33834.890428193816</c:v>
                </c:pt>
                <c:pt idx="3">
                  <c:v>158875.46180364248</c:v>
                </c:pt>
                <c:pt idx="4">
                  <c:v>408076.87300501106</c:v>
                </c:pt>
                <c:pt idx="5">
                  <c:v>843410.22648391593</c:v>
                </c:pt>
                <c:pt idx="6">
                  <c:v>1618485.9704760127</c:v>
                </c:pt>
                <c:pt idx="7">
                  <c:v>3084163.4725068966</c:v>
                </c:pt>
              </c:numCache>
            </c:numRef>
          </c:val>
        </c:ser>
        <c:ser>
          <c:idx val="2"/>
          <c:order val="2"/>
          <c:tx>
            <c:v>Expenses</c:v>
          </c:tx>
          <c:spPr>
            <a:solidFill>
              <a:srgbClr val="FF0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(Optimistic!$F$47:$I$47,Optimistic!$K$47:$N$47)</c:f>
              <c:numCache>
                <c:formatCode>#,##0\ "€"</c:formatCode>
                <c:ptCount val="8"/>
                <c:pt idx="0">
                  <c:v>129082.35642221538</c:v>
                </c:pt>
                <c:pt idx="1">
                  <c:v>161168.57042458723</c:v>
                </c:pt>
                <c:pt idx="2">
                  <c:v>178632.26018698377</c:v>
                </c:pt>
                <c:pt idx="3">
                  <c:v>253538.24658410822</c:v>
                </c:pt>
                <c:pt idx="4">
                  <c:v>468592.42512322171</c:v>
                </c:pt>
                <c:pt idx="5">
                  <c:v>832306.5905212888</c:v>
                </c:pt>
                <c:pt idx="6">
                  <c:v>1486454.1577943664</c:v>
                </c:pt>
                <c:pt idx="7">
                  <c:v>2626148.5303277425</c:v>
                </c:pt>
              </c:numCache>
            </c:numRef>
          </c:val>
        </c:ser>
        <c:ser>
          <c:idx val="3"/>
          <c:order val="3"/>
          <c:tx>
            <c:v>Result</c:v>
          </c:tx>
          <c:spPr>
            <a:solidFill>
              <a:srgbClr val="FFC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(Optimistic!$F$49:$I$49,Optimistic!$K$49:$N$49)</c:f>
              <c:numCache>
                <c:formatCode>#,##0\ "€"</c:formatCode>
                <c:ptCount val="8"/>
                <c:pt idx="0">
                  <c:v>-129082.35642221538</c:v>
                </c:pt>
                <c:pt idx="1">
                  <c:v>-161168.57042458723</c:v>
                </c:pt>
                <c:pt idx="2">
                  <c:v>-144797.36975878995</c:v>
                </c:pt>
                <c:pt idx="3">
                  <c:v>-94662.784780465736</c:v>
                </c:pt>
                <c:pt idx="4">
                  <c:v>-60515.552118210646</c:v>
                </c:pt>
                <c:pt idx="5">
                  <c:v>11103.63596262713</c:v>
                </c:pt>
                <c:pt idx="6">
                  <c:v>132031.81268164632</c:v>
                </c:pt>
                <c:pt idx="7">
                  <c:v>458014.94217915414</c:v>
                </c:pt>
              </c:numCache>
            </c:numRef>
          </c:val>
        </c:ser>
        <c:dLbls>
          <c:showLegendKey val="0"/>
          <c:showVal val="0"/>
          <c:showCatName val="0"/>
          <c:showSerName val="0"/>
          <c:showPercent val="0"/>
          <c:showBubbleSize val="0"/>
        </c:dLbls>
        <c:gapWidth val="150"/>
        <c:axId val="130406400"/>
        <c:axId val="128591552"/>
      </c:barChart>
      <c:catAx>
        <c:axId val="130406400"/>
        <c:scaling>
          <c:orientation val="minMax"/>
        </c:scaling>
        <c:delete val="0"/>
        <c:axPos val="b"/>
        <c:majorTickMark val="out"/>
        <c:minorTickMark val="none"/>
        <c:tickLblPos val="nextTo"/>
        <c:crossAx val="128591552"/>
        <c:crosses val="autoZero"/>
        <c:auto val="1"/>
        <c:lblAlgn val="ctr"/>
        <c:lblOffset val="100"/>
        <c:noMultiLvlLbl val="0"/>
      </c:catAx>
      <c:valAx>
        <c:axId val="128591552"/>
        <c:scaling>
          <c:orientation val="minMax"/>
        </c:scaling>
        <c:delete val="0"/>
        <c:axPos val="l"/>
        <c:majorGridlines/>
        <c:numFmt formatCode="#,##0" sourceLinked="1"/>
        <c:majorTickMark val="out"/>
        <c:minorTickMark val="none"/>
        <c:tickLblPos val="nextTo"/>
        <c:crossAx val="130406400"/>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(Optimistic!$P$18:$S$18,Optimistic!$U$18:$W$18)</c:f>
              <c:numCache>
                <c:formatCode>#,##0</c:formatCode>
                <c:ptCount val="7"/>
                <c:pt idx="0">
                  <c:v>799568.76883937756</c:v>
                </c:pt>
                <c:pt idx="1">
                  <c:v>1379283.9202390704</c:v>
                </c:pt>
                <c:pt idx="2">
                  <c:v>2485885.0244178502</c:v>
                </c:pt>
                <c:pt idx="3">
                  <c:v>4626031.0702250432</c:v>
                </c:pt>
                <c:pt idx="4">
                  <c:v>12934813.317469545</c:v>
                </c:pt>
                <c:pt idx="5">
                  <c:v>26667311.90221313</c:v>
                </c:pt>
                <c:pt idx="6">
                  <c:v>46166558.381533548</c:v>
                </c:pt>
              </c:numCache>
            </c:numRef>
          </c:val>
        </c:ser>
        <c:ser>
          <c:idx val="1"/>
          <c:order val="1"/>
          <c:tx>
            <c:v>Income</c:v>
          </c:tx>
          <c:spPr>
            <a:solidFill>
              <a:srgbClr val="6DC71B"/>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(Optimistic!$P$30:$S$30,Optimistic!$U$30:$W$30)</c:f>
              <c:numCache>
                <c:formatCode>#,##0\ "€"</c:formatCode>
                <c:ptCount val="7"/>
                <c:pt idx="0">
                  <c:v>6184785.9468920901</c:v>
                </c:pt>
                <c:pt idx="1">
                  <c:v>12186619.809388254</c:v>
                </c:pt>
                <c:pt idx="2">
                  <c:v>24582190.351935159</c:v>
                </c:pt>
                <c:pt idx="3">
                  <c:v>50658827.247549705</c:v>
                </c:pt>
                <c:pt idx="4">
                  <c:v>552112947.54911792</c:v>
                </c:pt>
                <c:pt idx="5">
                  <c:v>1458942293.0931103</c:v>
                </c:pt>
                <c:pt idx="6">
                  <c:v>3076502680.7854595</c:v>
                </c:pt>
              </c:numCache>
            </c:numRef>
          </c:val>
        </c:ser>
        <c:ser>
          <c:idx val="2"/>
          <c:order val="2"/>
          <c:tx>
            <c:v>Expenses</c:v>
          </c:tx>
          <c:spPr>
            <a:solidFill>
              <a:srgbClr val="FF0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(Optimistic!$P$47:$S$47,Optimistic!$U$47:$W$47)</c:f>
              <c:numCache>
                <c:formatCode>#,##0\ "€"</c:formatCode>
                <c:ptCount val="7"/>
                <c:pt idx="0">
                  <c:v>4681723.4929626547</c:v>
                </c:pt>
                <c:pt idx="1">
                  <c:v>8555832.0268256254</c:v>
                </c:pt>
                <c:pt idx="2">
                  <c:v>15501237.069601977</c:v>
                </c:pt>
                <c:pt idx="3">
                  <c:v>28560361.984897129</c:v>
                </c:pt>
                <c:pt idx="4">
                  <c:v>346268820.69476771</c:v>
                </c:pt>
                <c:pt idx="5">
                  <c:v>664477470.20614219</c:v>
                </c:pt>
                <c:pt idx="6">
                  <c:v>1272445755.8957977</c:v>
                </c:pt>
              </c:numCache>
            </c:numRef>
          </c:val>
        </c:ser>
        <c:ser>
          <c:idx val="3"/>
          <c:order val="3"/>
          <c:tx>
            <c:v>Result</c:v>
          </c:tx>
          <c:spPr>
            <a:solidFill>
              <a:srgbClr val="FFC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(Optimistic!$P$49:$S$49,Optimistic!$U$49:$W$49)</c:f>
              <c:numCache>
                <c:formatCode>#,##0\ "€"</c:formatCode>
                <c:ptCount val="7"/>
                <c:pt idx="0">
                  <c:v>1503062.4539294355</c:v>
                </c:pt>
                <c:pt idx="1">
                  <c:v>3630787.7825626284</c:v>
                </c:pt>
                <c:pt idx="2">
                  <c:v>9080953.2823331822</c:v>
                </c:pt>
                <c:pt idx="3">
                  <c:v>22098465.262652576</c:v>
                </c:pt>
                <c:pt idx="4">
                  <c:v>205844126.85435021</c:v>
                </c:pt>
                <c:pt idx="5">
                  <c:v>794464822.88696814</c:v>
                </c:pt>
                <c:pt idx="6">
                  <c:v>1804056924.8896618</c:v>
                </c:pt>
              </c:numCache>
            </c:numRef>
          </c:val>
        </c:ser>
        <c:dLbls>
          <c:showLegendKey val="0"/>
          <c:showVal val="0"/>
          <c:showCatName val="0"/>
          <c:showSerName val="0"/>
          <c:showPercent val="0"/>
          <c:showBubbleSize val="0"/>
        </c:dLbls>
        <c:gapWidth val="150"/>
        <c:axId val="130407936"/>
        <c:axId val="128595584"/>
      </c:barChart>
      <c:catAx>
        <c:axId val="130407936"/>
        <c:scaling>
          <c:orientation val="minMax"/>
        </c:scaling>
        <c:delete val="0"/>
        <c:axPos val="b"/>
        <c:majorTickMark val="out"/>
        <c:minorTickMark val="none"/>
        <c:tickLblPos val="nextTo"/>
        <c:crossAx val="128595584"/>
        <c:crosses val="autoZero"/>
        <c:auto val="1"/>
        <c:lblAlgn val="ctr"/>
        <c:lblOffset val="100"/>
        <c:noMultiLvlLbl val="0"/>
      </c:catAx>
      <c:valAx>
        <c:axId val="128595584"/>
        <c:scaling>
          <c:orientation val="minMax"/>
        </c:scaling>
        <c:delete val="0"/>
        <c:axPos val="l"/>
        <c:majorGridlines/>
        <c:numFmt formatCode="#,##0" sourceLinked="1"/>
        <c:majorTickMark val="out"/>
        <c:minorTickMark val="none"/>
        <c:tickLblPos val="nextTo"/>
        <c:crossAx val="130407936"/>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(Optimistic)</c:v>
          </c:tx>
          <c:spPr>
            <a:ln>
              <a:solidFill>
                <a:srgbClr val="6DC71B"/>
              </a:solidFill>
            </a:ln>
          </c:spPr>
          <c:marker>
            <c:symbol val="none"/>
          </c:marker>
          <c:val>
            <c:numRef>
              <c:f>'Comparision successful Networks'!$U$20:$U$25</c:f>
              <c:numCache>
                <c:formatCode>#,##0.00</c:formatCode>
                <c:ptCount val="6"/>
                <c:pt idx="0">
                  <c:v>6.9407414864748163E-2</c:v>
                </c:pt>
                <c:pt idx="1">
                  <c:v>0.47735846255868269</c:v>
                </c:pt>
                <c:pt idx="2">
                  <c:v>4.6260310702250429</c:v>
                </c:pt>
                <c:pt idx="3">
                  <c:v>12.934813317469544</c:v>
                </c:pt>
                <c:pt idx="4">
                  <c:v>26.667311902213129</c:v>
                </c:pt>
                <c:pt idx="5">
                  <c:v>46.166558381533548</c:v>
                </c:pt>
              </c:numCache>
            </c:numRef>
          </c:val>
          <c:smooth val="0"/>
        </c:ser>
        <c:ser>
          <c:idx val="7"/>
          <c:order val="7"/>
          <c:tx>
            <c:v>connect (You)</c:v>
          </c:tx>
          <c:spPr>
            <a:ln>
              <a:solidFill>
                <a:schemeClr val="accent6">
                  <a:lumMod val="75000"/>
                </a:schemeClr>
              </a:solidFill>
            </a:ln>
          </c:spPr>
          <c:marker>
            <c:symbol val="none"/>
          </c:marker>
          <c:val>
            <c:numRef>
              <c:f>'Comparision successful Networks'!$O$20:$O$25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0909184"/>
        <c:axId val="128597312"/>
      </c:lineChart>
      <c:catAx>
        <c:axId val="130909184"/>
        <c:scaling>
          <c:orientation val="minMax"/>
        </c:scaling>
        <c:delete val="0"/>
        <c:axPos val="b"/>
        <c:numFmt formatCode="General" sourceLinked="1"/>
        <c:majorTickMark val="out"/>
        <c:minorTickMark val="none"/>
        <c:tickLblPos val="nextTo"/>
        <c:crossAx val="128597312"/>
        <c:crosses val="autoZero"/>
        <c:auto val="1"/>
        <c:lblAlgn val="ctr"/>
        <c:lblOffset val="100"/>
        <c:noMultiLvlLbl val="0"/>
      </c:catAx>
      <c:valAx>
        <c:axId val="128597312"/>
        <c:scaling>
          <c:orientation val="minMax"/>
        </c:scaling>
        <c:delete val="0"/>
        <c:axPos val="l"/>
        <c:majorGridlines/>
        <c:numFmt formatCode="General" sourceLinked="1"/>
        <c:majorTickMark val="out"/>
        <c:minorTickMark val="none"/>
        <c:tickLblPos val="nextTo"/>
        <c:crossAx val="13090918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(Optimistic)</c:v>
          </c:tx>
          <c:spPr>
            <a:ln>
              <a:solidFill>
                <a:srgbClr val="6DC71B"/>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Networks'!$U$4:$U$25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6.9407414864748163E-2</c:v>
                </c:pt>
                <c:pt idx="17" formatCode="#,##0.00">
                  <c:v>0.47735846255868269</c:v>
                </c:pt>
                <c:pt idx="18" formatCode="#,##0.00">
                  <c:v>4.6260310702250429</c:v>
                </c:pt>
                <c:pt idx="19" formatCode="#,##0.00">
                  <c:v>12.934813317469544</c:v>
                </c:pt>
                <c:pt idx="20" formatCode="#,##0.00">
                  <c:v>26.667311902213129</c:v>
                </c:pt>
                <c:pt idx="21" formatCode="#,##0.00">
                  <c:v>46.166558381533548</c:v>
                </c:pt>
              </c:numCache>
            </c:numRef>
          </c:val>
          <c:smooth val="0"/>
        </c:ser>
        <c:ser>
          <c:idx val="7"/>
          <c:order val="7"/>
          <c:tx>
            <c:v>connect (You)</c:v>
          </c:tx>
          <c:spPr>
            <a:ln>
              <a:solidFill>
                <a:schemeClr val="accent6">
                  <a:lumMod val="75000"/>
                </a:schemeClr>
              </a:solidFill>
            </a:ln>
          </c:spPr>
          <c:marker>
            <c:symbol val="none"/>
          </c:marker>
          <c:val>
            <c:numRef>
              <c:f>'Comparision successful Networks'!$O$4:$O$25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0910208"/>
        <c:axId val="131382016"/>
      </c:lineChart>
      <c:catAx>
        <c:axId val="130910208"/>
        <c:scaling>
          <c:orientation val="minMax"/>
        </c:scaling>
        <c:delete val="0"/>
        <c:axPos val="b"/>
        <c:numFmt formatCode="@" sourceLinked="0"/>
        <c:majorTickMark val="out"/>
        <c:minorTickMark val="none"/>
        <c:tickLblPos val="nextTo"/>
        <c:crossAx val="131382016"/>
        <c:crosses val="autoZero"/>
        <c:auto val="1"/>
        <c:lblAlgn val="ctr"/>
        <c:lblOffset val="100"/>
        <c:noMultiLvlLbl val="0"/>
      </c:catAx>
      <c:valAx>
        <c:axId val="131382016"/>
        <c:scaling>
          <c:orientation val="minMax"/>
        </c:scaling>
        <c:delete val="0"/>
        <c:axPos val="l"/>
        <c:majorGridlines/>
        <c:numFmt formatCode="General" sourceLinked="1"/>
        <c:majorTickMark val="out"/>
        <c:minorTickMark val="none"/>
        <c:tickLblPos val="nextTo"/>
        <c:crossAx val="1309102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('Result of your Estimation'!$P$18:$S$18,'Result of your Estimation'!$U$18:$W$18)</c:f>
              <c:numCache>
                <c:formatCode>#,##0</c:formatCode>
                <c:ptCount val="7"/>
                <c:pt idx="0">
                  <c:v>38454.597338960601</c:v>
                </c:pt>
                <c:pt idx="1">
                  <c:v>38454.597338960601</c:v>
                </c:pt>
                <c:pt idx="2">
                  <c:v>38454.597338960601</c:v>
                </c:pt>
                <c:pt idx="3">
                  <c:v>38454.597338960601</c:v>
                </c:pt>
                <c:pt idx="4">
                  <c:v>38454.597338960601</c:v>
                </c:pt>
                <c:pt idx="5">
                  <c:v>38454.597338960601</c:v>
                </c:pt>
                <c:pt idx="6">
                  <c:v>38454.597338960601</c:v>
                </c:pt>
              </c:numCache>
            </c:numRef>
          </c:val>
        </c:ser>
        <c:ser>
          <c:idx val="1"/>
          <c:order val="1"/>
          <c:tx>
            <c:v>Income</c:v>
          </c:tx>
          <c:spPr>
            <a:solidFill>
              <a:srgbClr val="6DC71B"/>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('Result of your Estimation'!$P$30:$S$30,'Result of your Estimation'!$U$30:$W$30)</c:f>
              <c:numCache>
                <c:formatCode>#,##0\ "€"</c:formatCode>
                <c:ptCount val="7"/>
                <c:pt idx="0">
                  <c:v>0</c:v>
                </c:pt>
                <c:pt idx="1">
                  <c:v>0</c:v>
                </c:pt>
                <c:pt idx="2">
                  <c:v>0</c:v>
                </c:pt>
                <c:pt idx="3">
                  <c:v>0</c:v>
                </c:pt>
                <c:pt idx="4">
                  <c:v>0</c:v>
                </c:pt>
                <c:pt idx="5">
                  <c:v>0</c:v>
                </c:pt>
                <c:pt idx="6">
                  <c:v>0</c:v>
                </c:pt>
              </c:numCache>
            </c:numRef>
          </c:val>
        </c:ser>
        <c:ser>
          <c:idx val="2"/>
          <c:order val="2"/>
          <c:tx>
            <c:v>Expenses</c:v>
          </c:tx>
          <c:spPr>
            <a:solidFill>
              <a:srgbClr val="FF0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('Result of your Estimation'!$P$47:$S$47,'Result of your Estimation'!$U$47:$W$47)</c:f>
              <c:numCache>
                <c:formatCode>#,##0\ "€"</c:formatCode>
                <c:ptCount val="7"/>
                <c:pt idx="0">
                  <c:v>136762.63792016881</c:v>
                </c:pt>
                <c:pt idx="1">
                  <c:v>136762.63792016881</c:v>
                </c:pt>
                <c:pt idx="2">
                  <c:v>136762.63792016881</c:v>
                </c:pt>
                <c:pt idx="3">
                  <c:v>136762.63792016881</c:v>
                </c:pt>
                <c:pt idx="4">
                  <c:v>503017.55168067524</c:v>
                </c:pt>
                <c:pt idx="5">
                  <c:v>503017.55168067524</c:v>
                </c:pt>
                <c:pt idx="6">
                  <c:v>503017.55168067524</c:v>
                </c:pt>
              </c:numCache>
            </c:numRef>
          </c:val>
        </c:ser>
        <c:ser>
          <c:idx val="3"/>
          <c:order val="3"/>
          <c:tx>
            <c:v>Result</c:v>
          </c:tx>
          <c:spPr>
            <a:solidFill>
              <a:srgbClr val="FFC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('Result of your Estimation'!$P$49:$S$49,'Result of your Estimation'!$U$49:$W$49)</c:f>
              <c:numCache>
                <c:formatCode>#,##0\ "€"</c:formatCode>
                <c:ptCount val="7"/>
                <c:pt idx="0">
                  <c:v>-136762.63792016881</c:v>
                </c:pt>
                <c:pt idx="1">
                  <c:v>-136762.63792016881</c:v>
                </c:pt>
                <c:pt idx="2">
                  <c:v>-136762.63792016881</c:v>
                </c:pt>
                <c:pt idx="3">
                  <c:v>-136762.63792016881</c:v>
                </c:pt>
                <c:pt idx="4">
                  <c:v>-503017.55168067524</c:v>
                </c:pt>
                <c:pt idx="5">
                  <c:v>-503017.55168067524</c:v>
                </c:pt>
                <c:pt idx="6">
                  <c:v>-503017.55168067524</c:v>
                </c:pt>
              </c:numCache>
            </c:numRef>
          </c:val>
        </c:ser>
        <c:dLbls>
          <c:showLegendKey val="0"/>
          <c:showVal val="0"/>
          <c:showCatName val="0"/>
          <c:showSerName val="0"/>
          <c:showPercent val="0"/>
          <c:showBubbleSize val="0"/>
        </c:dLbls>
        <c:gapWidth val="150"/>
        <c:axId val="125337600"/>
        <c:axId val="124342208"/>
      </c:barChart>
      <c:catAx>
        <c:axId val="125337600"/>
        <c:scaling>
          <c:orientation val="minMax"/>
        </c:scaling>
        <c:delete val="0"/>
        <c:axPos val="b"/>
        <c:majorTickMark val="out"/>
        <c:minorTickMark val="none"/>
        <c:tickLblPos val="nextTo"/>
        <c:crossAx val="124342208"/>
        <c:crosses val="autoZero"/>
        <c:auto val="1"/>
        <c:lblAlgn val="ctr"/>
        <c:lblOffset val="100"/>
        <c:noMultiLvlLbl val="0"/>
      </c:catAx>
      <c:valAx>
        <c:axId val="124342208"/>
        <c:scaling>
          <c:orientation val="minMax"/>
        </c:scaling>
        <c:delete val="0"/>
        <c:axPos val="l"/>
        <c:majorGridlines/>
        <c:numFmt formatCode="#,##0" sourceLinked="1"/>
        <c:majorTickMark val="out"/>
        <c:minorTickMark val="none"/>
        <c:tickLblPos val="nextTo"/>
        <c:crossAx val="125337600"/>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(Pessimistic!$F$18:$I$18,Pessimistic!$K$18:$N$18)</c:f>
              <c:numCache>
                <c:formatCode>#,##0</c:formatCode>
                <c:ptCount val="8"/>
                <c:pt idx="0">
                  <c:v>2072.3262823616042</c:v>
                </c:pt>
                <c:pt idx="1">
                  <c:v>4924.7778755886757</c:v>
                </c:pt>
                <c:pt idx="2">
                  <c:v>9296.2069334215012</c:v>
                </c:pt>
                <c:pt idx="3">
                  <c:v>12387.765095850407</c:v>
                </c:pt>
                <c:pt idx="4">
                  <c:v>15878.417231040114</c:v>
                </c:pt>
                <c:pt idx="5">
                  <c:v>18968.691897506593</c:v>
                </c:pt>
                <c:pt idx="6">
                  <c:v>21792.168752694881</c:v>
                </c:pt>
                <c:pt idx="7">
                  <c:v>24531.847214948582</c:v>
                </c:pt>
              </c:numCache>
            </c:numRef>
          </c:val>
        </c:ser>
        <c:ser>
          <c:idx val="1"/>
          <c:order val="1"/>
          <c:tx>
            <c:v>Income</c:v>
          </c:tx>
          <c:spPr>
            <a:solidFill>
              <a:srgbClr val="6DC71B"/>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(Pessimistic!$F$30:$I$30,Pessimistic!$K$30:$N$30)</c:f>
              <c:numCache>
                <c:formatCode>#,##0\ "€"</c:formatCode>
                <c:ptCount val="8"/>
                <c:pt idx="0">
                  <c:v>0</c:v>
                </c:pt>
                <c:pt idx="1">
                  <c:v>0</c:v>
                </c:pt>
                <c:pt idx="2">
                  <c:v>4781.9640947529624</c:v>
                </c:pt>
                <c:pt idx="3">
                  <c:v>16154.476597561068</c:v>
                </c:pt>
                <c:pt idx="4">
                  <c:v>26237.841027794559</c:v>
                </c:pt>
                <c:pt idx="5">
                  <c:v>38422.872030144747</c:v>
                </c:pt>
                <c:pt idx="6">
                  <c:v>52152.620768075045</c:v>
                </c:pt>
                <c:pt idx="7">
                  <c:v>67576.389990175812</c:v>
                </c:pt>
              </c:numCache>
            </c:numRef>
          </c:val>
        </c:ser>
        <c:ser>
          <c:idx val="2"/>
          <c:order val="2"/>
          <c:tx>
            <c:v>Expenses</c:v>
          </c:tx>
          <c:spPr>
            <a:solidFill>
              <a:srgbClr val="FF0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(Pessimistic!$F$47:$I$47,Pessimistic!$K$47:$N$47)</c:f>
              <c:numCache>
                <c:formatCode>#,##0\ "€"</c:formatCode>
                <c:ptCount val="8"/>
                <c:pt idx="0">
                  <c:v>117680.16978847084</c:v>
                </c:pt>
                <c:pt idx="1">
                  <c:v>114765.74333626767</c:v>
                </c:pt>
                <c:pt idx="2">
                  <c:v>59031.47543642854</c:v>
                </c:pt>
                <c:pt idx="3">
                  <c:v>62283.374281435768</c:v>
                </c:pt>
                <c:pt idx="4">
                  <c:v>83525.351187596767</c:v>
                </c:pt>
                <c:pt idx="5">
                  <c:v>89551.503381333867</c:v>
                </c:pt>
                <c:pt idx="6">
                  <c:v>96635.065611248283</c:v>
                </c:pt>
                <c:pt idx="7">
                  <c:v>104584.96003791677</c:v>
                </c:pt>
              </c:numCache>
            </c:numRef>
          </c:val>
        </c:ser>
        <c:ser>
          <c:idx val="3"/>
          <c:order val="3"/>
          <c:tx>
            <c:v>Result</c:v>
          </c:tx>
          <c:spPr>
            <a:solidFill>
              <a:srgbClr val="FFC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(Pessimistic!$F$49:$I$49,Pessimistic!$K$49:$N$49)</c:f>
              <c:numCache>
                <c:formatCode>#,##0\ "€"</c:formatCode>
                <c:ptCount val="8"/>
                <c:pt idx="0">
                  <c:v>-117680.16978847084</c:v>
                </c:pt>
                <c:pt idx="1">
                  <c:v>-114765.74333626767</c:v>
                </c:pt>
                <c:pt idx="2">
                  <c:v>-54249.511341675578</c:v>
                </c:pt>
                <c:pt idx="3">
                  <c:v>-46128.897683874704</c:v>
                </c:pt>
                <c:pt idx="4">
                  <c:v>-57287.510159802208</c:v>
                </c:pt>
                <c:pt idx="5">
                  <c:v>-51128.63135118912</c:v>
                </c:pt>
                <c:pt idx="6">
                  <c:v>-44482.444843173238</c:v>
                </c:pt>
                <c:pt idx="7">
                  <c:v>-37008.570047740955</c:v>
                </c:pt>
              </c:numCache>
            </c:numRef>
          </c:val>
        </c:ser>
        <c:dLbls>
          <c:showLegendKey val="0"/>
          <c:showVal val="0"/>
          <c:showCatName val="0"/>
          <c:showSerName val="0"/>
          <c:showPercent val="0"/>
          <c:showBubbleSize val="0"/>
        </c:dLbls>
        <c:gapWidth val="150"/>
        <c:axId val="131698688"/>
        <c:axId val="131381440"/>
      </c:barChart>
      <c:catAx>
        <c:axId val="131698688"/>
        <c:scaling>
          <c:orientation val="minMax"/>
        </c:scaling>
        <c:delete val="0"/>
        <c:axPos val="b"/>
        <c:majorTickMark val="out"/>
        <c:minorTickMark val="none"/>
        <c:tickLblPos val="nextTo"/>
        <c:crossAx val="131381440"/>
        <c:crosses val="autoZero"/>
        <c:auto val="1"/>
        <c:lblAlgn val="ctr"/>
        <c:lblOffset val="100"/>
        <c:noMultiLvlLbl val="0"/>
      </c:catAx>
      <c:valAx>
        <c:axId val="131381440"/>
        <c:scaling>
          <c:orientation val="minMax"/>
        </c:scaling>
        <c:delete val="0"/>
        <c:axPos val="l"/>
        <c:majorGridlines/>
        <c:numFmt formatCode="#,##0" sourceLinked="1"/>
        <c:majorTickMark val="out"/>
        <c:minorTickMark val="none"/>
        <c:tickLblPos val="nextTo"/>
        <c:crossAx val="131698688"/>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(Pessimistic!$P$18:$S$18,Pessimistic!$U$18:$W$18)</c:f>
              <c:numCache>
                <c:formatCode>#,##0</c:formatCode>
                <c:ptCount val="7"/>
                <c:pt idx="0">
                  <c:v>27254.099273544627</c:v>
                </c:pt>
                <c:pt idx="1">
                  <c:v>30367.443549597963</c:v>
                </c:pt>
                <c:pt idx="2">
                  <c:v>34019.333310447299</c:v>
                </c:pt>
                <c:pt idx="3">
                  <c:v>38401.922706784098</c:v>
                </c:pt>
                <c:pt idx="4">
                  <c:v>109501.7068687381</c:v>
                </c:pt>
                <c:pt idx="5">
                  <c:v>212916.30468873825</c:v>
                </c:pt>
                <c:pt idx="6">
                  <c:v>309234.96707116766</c:v>
                </c:pt>
              </c:numCache>
            </c:numRef>
          </c:val>
        </c:ser>
        <c:ser>
          <c:idx val="1"/>
          <c:order val="1"/>
          <c:tx>
            <c:v>Income</c:v>
          </c:tx>
          <c:spPr>
            <a:solidFill>
              <a:srgbClr val="6DC71B"/>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(Pessimistic!$P$30:$S$30,Pessimistic!$U$30:$W$30)</c:f>
              <c:numCache>
                <c:formatCode>#,##0\ "€"</c:formatCode>
                <c:ptCount val="7"/>
                <c:pt idx="0">
                  <c:v>84871.727991615946</c:v>
                </c:pt>
                <c:pt idx="1">
                  <c:v>105078.34226830545</c:v>
                </c:pt>
                <c:pt idx="2">
                  <c:v>129373.2636425799</c:v>
                </c:pt>
                <c:pt idx="3">
                  <c:v>159048.19850402471</c:v>
                </c:pt>
                <c:pt idx="4">
                  <c:v>1481994.3683467326</c:v>
                </c:pt>
                <c:pt idx="5">
                  <c:v>3694910.4124486796</c:v>
                </c:pt>
                <c:pt idx="6">
                  <c:v>6735751.4057027856</c:v>
                </c:pt>
              </c:numCache>
            </c:numRef>
          </c:val>
        </c:ser>
        <c:ser>
          <c:idx val="2"/>
          <c:order val="2"/>
          <c:tx>
            <c:v>Expenses</c:v>
          </c:tx>
          <c:spPr>
            <a:solidFill>
              <a:srgbClr val="FF0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(Pessimistic!$P$47:$S$47,Pessimistic!$U$47:$W$47)</c:f>
              <c:numCache>
                <c:formatCode>#,##0\ "€"</c:formatCode>
                <c:ptCount val="7"/>
                <c:pt idx="0">
                  <c:v>113491.8334626799</c:v>
                </c:pt>
                <c:pt idx="1">
                  <c:v>123601.72430305433</c:v>
                </c:pt>
                <c:pt idx="2">
                  <c:v>152166.59307693047</c:v>
                </c:pt>
                <c:pt idx="3">
                  <c:v>183210.76178711205</c:v>
                </c:pt>
                <c:pt idx="4">
                  <c:v>1101581.6423608179</c:v>
                </c:pt>
                <c:pt idx="5">
                  <c:v>2296608.8171600779</c:v>
                </c:pt>
                <c:pt idx="6">
                  <c:v>3847810.3456130717</c:v>
                </c:pt>
              </c:numCache>
            </c:numRef>
          </c:val>
        </c:ser>
        <c:ser>
          <c:idx val="3"/>
          <c:order val="3"/>
          <c:tx>
            <c:v>Result</c:v>
          </c:tx>
          <c:spPr>
            <a:solidFill>
              <a:srgbClr val="FFC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(Pessimistic!$P$49:$S$49,Pessimistic!$U$49:$W$49)</c:f>
              <c:numCache>
                <c:formatCode>#,##0\ "€"</c:formatCode>
                <c:ptCount val="7"/>
                <c:pt idx="0">
                  <c:v>-28620.105471063958</c:v>
                </c:pt>
                <c:pt idx="1">
                  <c:v>-18523.38203474888</c:v>
                </c:pt>
                <c:pt idx="2">
                  <c:v>-22793.329434350569</c:v>
                </c:pt>
                <c:pt idx="3">
                  <c:v>-24162.563283087336</c:v>
                </c:pt>
                <c:pt idx="4">
                  <c:v>380412.7259859147</c:v>
                </c:pt>
                <c:pt idx="5">
                  <c:v>1398301.5952886017</c:v>
                </c:pt>
                <c:pt idx="6">
                  <c:v>2887941.0600897139</c:v>
                </c:pt>
              </c:numCache>
            </c:numRef>
          </c:val>
        </c:ser>
        <c:dLbls>
          <c:showLegendKey val="0"/>
          <c:showVal val="0"/>
          <c:showCatName val="0"/>
          <c:showSerName val="0"/>
          <c:showPercent val="0"/>
          <c:showBubbleSize val="0"/>
        </c:dLbls>
        <c:gapWidth val="150"/>
        <c:axId val="131700224"/>
        <c:axId val="131377984"/>
      </c:barChart>
      <c:catAx>
        <c:axId val="131700224"/>
        <c:scaling>
          <c:orientation val="minMax"/>
        </c:scaling>
        <c:delete val="0"/>
        <c:axPos val="b"/>
        <c:majorTickMark val="out"/>
        <c:minorTickMark val="none"/>
        <c:tickLblPos val="nextTo"/>
        <c:crossAx val="131377984"/>
        <c:crosses val="autoZero"/>
        <c:auto val="1"/>
        <c:lblAlgn val="ctr"/>
        <c:lblOffset val="100"/>
        <c:noMultiLvlLbl val="0"/>
      </c:catAx>
      <c:valAx>
        <c:axId val="131377984"/>
        <c:scaling>
          <c:orientation val="minMax"/>
        </c:scaling>
        <c:delete val="0"/>
        <c:axPos val="l"/>
        <c:majorGridlines/>
        <c:numFmt formatCode="#,##0" sourceLinked="1"/>
        <c:majorTickMark val="out"/>
        <c:minorTickMark val="none"/>
        <c:tickLblPos val="nextTo"/>
        <c:crossAx val="131700224"/>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(Pessimistic)</c:v>
          </c:tx>
          <c:spPr>
            <a:ln>
              <a:solidFill>
                <a:srgbClr val="6DC71B"/>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Networks'!$W$4:$W$25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1.2387765095850408E-2</c:v>
                </c:pt>
                <c:pt idx="17" formatCode="#,##0.00">
                  <c:v>2.4531847214948582E-2</c:v>
                </c:pt>
                <c:pt idx="18" formatCode="#,##0.00">
                  <c:v>3.8401922706784102E-2</c:v>
                </c:pt>
                <c:pt idx="19" formatCode="#,##0.00">
                  <c:v>0.1095017068687381</c:v>
                </c:pt>
                <c:pt idx="20" formatCode="#,##0.00">
                  <c:v>0.21291630468873826</c:v>
                </c:pt>
                <c:pt idx="21" formatCode="#,##0.00">
                  <c:v>0.30923496707116765</c:v>
                </c:pt>
              </c:numCache>
            </c:numRef>
          </c:val>
          <c:smooth val="0"/>
        </c:ser>
        <c:ser>
          <c:idx val="7"/>
          <c:order val="7"/>
          <c:tx>
            <c:v>connect (You)</c:v>
          </c:tx>
          <c:spPr>
            <a:ln>
              <a:solidFill>
                <a:schemeClr val="accent6">
                  <a:lumMod val="75000"/>
                </a:schemeClr>
              </a:solidFill>
            </a:ln>
          </c:spPr>
          <c:marker>
            <c:symbol val="none"/>
          </c:marker>
          <c:val>
            <c:numRef>
              <c:f>'Comparision successful Networks'!$O$4:$O$25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3009408"/>
        <c:axId val="131552320"/>
      </c:lineChart>
      <c:catAx>
        <c:axId val="133009408"/>
        <c:scaling>
          <c:orientation val="minMax"/>
        </c:scaling>
        <c:delete val="0"/>
        <c:axPos val="b"/>
        <c:numFmt formatCode="@" sourceLinked="0"/>
        <c:majorTickMark val="out"/>
        <c:minorTickMark val="none"/>
        <c:tickLblPos val="nextTo"/>
        <c:crossAx val="131552320"/>
        <c:crosses val="autoZero"/>
        <c:auto val="1"/>
        <c:lblAlgn val="ctr"/>
        <c:lblOffset val="100"/>
        <c:noMultiLvlLbl val="0"/>
      </c:catAx>
      <c:valAx>
        <c:axId val="131552320"/>
        <c:scaling>
          <c:orientation val="minMax"/>
        </c:scaling>
        <c:delete val="0"/>
        <c:axPos val="l"/>
        <c:majorGridlines/>
        <c:numFmt formatCode="General" sourceLinked="1"/>
        <c:majorTickMark val="out"/>
        <c:minorTickMark val="none"/>
        <c:tickLblPos val="nextTo"/>
        <c:crossAx val="1330094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(Pessimistic)</c:v>
          </c:tx>
          <c:spPr>
            <a:ln>
              <a:solidFill>
                <a:srgbClr val="6DC71B"/>
              </a:solidFill>
            </a:ln>
          </c:spPr>
          <c:marker>
            <c:symbol val="none"/>
          </c:marker>
          <c:val>
            <c:numRef>
              <c:f>'Comparision successful Networks'!$W$20:$W$25</c:f>
              <c:numCache>
                <c:formatCode>#,##0.00</c:formatCode>
                <c:ptCount val="6"/>
                <c:pt idx="0">
                  <c:v>1.2387765095850408E-2</c:v>
                </c:pt>
                <c:pt idx="1">
                  <c:v>2.4531847214948582E-2</c:v>
                </c:pt>
                <c:pt idx="2">
                  <c:v>3.8401922706784102E-2</c:v>
                </c:pt>
                <c:pt idx="3">
                  <c:v>0.1095017068687381</c:v>
                </c:pt>
                <c:pt idx="4">
                  <c:v>0.21291630468873826</c:v>
                </c:pt>
                <c:pt idx="5">
                  <c:v>0.30923496707116765</c:v>
                </c:pt>
              </c:numCache>
            </c:numRef>
          </c:val>
          <c:smooth val="0"/>
        </c:ser>
        <c:ser>
          <c:idx val="7"/>
          <c:order val="7"/>
          <c:tx>
            <c:v>connect (You)</c:v>
          </c:tx>
          <c:spPr>
            <a:ln>
              <a:solidFill>
                <a:schemeClr val="accent6">
                  <a:lumMod val="75000"/>
                </a:schemeClr>
              </a:solidFill>
            </a:ln>
          </c:spPr>
          <c:marker>
            <c:symbol val="none"/>
          </c:marker>
          <c:val>
            <c:numRef>
              <c:f>'Comparision successful Networks'!$O$20:$O$25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3011456"/>
        <c:axId val="131554048"/>
      </c:lineChart>
      <c:catAx>
        <c:axId val="133011456"/>
        <c:scaling>
          <c:orientation val="minMax"/>
        </c:scaling>
        <c:delete val="0"/>
        <c:axPos val="b"/>
        <c:numFmt formatCode="General" sourceLinked="1"/>
        <c:majorTickMark val="out"/>
        <c:minorTickMark val="none"/>
        <c:tickLblPos val="nextTo"/>
        <c:crossAx val="131554048"/>
        <c:crosses val="autoZero"/>
        <c:auto val="1"/>
        <c:lblAlgn val="ctr"/>
        <c:lblOffset val="100"/>
        <c:noMultiLvlLbl val="0"/>
      </c:catAx>
      <c:valAx>
        <c:axId val="131554048"/>
        <c:scaling>
          <c:orientation val="minMax"/>
        </c:scaling>
        <c:delete val="0"/>
        <c:axPos val="l"/>
        <c:majorGridlines/>
        <c:numFmt formatCode="General" sourceLinked="1"/>
        <c:majorTickMark val="out"/>
        <c:minorTickMark val="none"/>
        <c:tickLblPos val="nextTo"/>
        <c:crossAx val="13301145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('Worst Case'!$F$18:$I$18,'Worst Case'!$K$18:$N$18)</c:f>
              <c:numCache>
                <c:formatCode>#,##0</c:formatCode>
                <c:ptCount val="8"/>
                <c:pt idx="0">
                  <c:v>2020.8646691464999</c:v>
                </c:pt>
                <c:pt idx="1">
                  <c:v>4833.8336170497632</c:v>
                </c:pt>
                <c:pt idx="2">
                  <c:v>8483.70063860954</c:v>
                </c:pt>
                <c:pt idx="3">
                  <c:v>10865.521167239924</c:v>
                </c:pt>
                <c:pt idx="4">
                  <c:v>13367.396546158145</c:v>
                </c:pt>
                <c:pt idx="5">
                  <c:v>15527.701315460177</c:v>
                </c:pt>
                <c:pt idx="6">
                  <c:v>17541.582885207928</c:v>
                </c:pt>
                <c:pt idx="7">
                  <c:v>19524.335023017342</c:v>
                </c:pt>
              </c:numCache>
            </c:numRef>
          </c:val>
        </c:ser>
        <c:ser>
          <c:idx val="1"/>
          <c:order val="1"/>
          <c:tx>
            <c:v>Income</c:v>
          </c:tx>
          <c:spPr>
            <a:solidFill>
              <a:srgbClr val="6DC71B"/>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('Worst Case'!$F$30:$I$30,'Worst Case'!$K$30:$N$30)</c:f>
              <c:numCache>
                <c:formatCode>#,##0\ "€"</c:formatCode>
                <c:ptCount val="8"/>
                <c:pt idx="0">
                  <c:v>0</c:v>
                </c:pt>
                <c:pt idx="1">
                  <c:v>0</c:v>
                </c:pt>
                <c:pt idx="2">
                  <c:v>4447.1566288157755</c:v>
                </c:pt>
                <c:pt idx="3">
                  <c:v>13727.841583440595</c:v>
                </c:pt>
                <c:pt idx="4">
                  <c:v>20844.3974776016</c:v>
                </c:pt>
                <c:pt idx="5">
                  <c:v>29039.180863516114</c:v>
                </c:pt>
                <c:pt idx="6">
                  <c:v>38131.422925058185</c:v>
                </c:pt>
                <c:pt idx="7">
                  <c:v>48291.089526088908</c:v>
                </c:pt>
              </c:numCache>
            </c:numRef>
          </c:val>
        </c:ser>
        <c:ser>
          <c:idx val="2"/>
          <c:order val="2"/>
          <c:tx>
            <c:v>Expenses</c:v>
          </c:tx>
          <c:spPr>
            <a:solidFill>
              <a:srgbClr val="FF0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('Worst Case'!$F$47:$I$47,'Worst Case'!$K$47:$N$47)</c:f>
              <c:numCache>
                <c:formatCode>#,##0\ "€"</c:formatCode>
                <c:ptCount val="8"/>
                <c:pt idx="0">
                  <c:v>117690</c:v>
                </c:pt>
                <c:pt idx="1">
                  <c:v>114774</c:v>
                </c:pt>
                <c:pt idx="2">
                  <c:v>28759.658007803017</c:v>
                </c:pt>
                <c:pt idx="3">
                  <c:v>30674.370558020455</c:v>
                </c:pt>
                <c:pt idx="4">
                  <c:v>48728.491618498578</c:v>
                </c:pt>
                <c:pt idx="5">
                  <c:v>51496.655136013651</c:v>
                </c:pt>
                <c:pt idx="6">
                  <c:v>54606.11132726878</c:v>
                </c:pt>
                <c:pt idx="7">
                  <c:v>58052.775913375102</c:v>
                </c:pt>
              </c:numCache>
            </c:numRef>
          </c:val>
        </c:ser>
        <c:ser>
          <c:idx val="3"/>
          <c:order val="3"/>
          <c:tx>
            <c:v>Result</c:v>
          </c:tx>
          <c:spPr>
            <a:solidFill>
              <a:srgbClr val="FFC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('Worst Case'!$F$49:$I$49,'Worst Case'!$K$49:$N$49)</c:f>
              <c:numCache>
                <c:formatCode>#,##0\ "€"</c:formatCode>
                <c:ptCount val="8"/>
                <c:pt idx="0">
                  <c:v>-117690</c:v>
                </c:pt>
                <c:pt idx="1">
                  <c:v>-114774</c:v>
                </c:pt>
                <c:pt idx="2">
                  <c:v>-24312.501378987239</c:v>
                </c:pt>
                <c:pt idx="3">
                  <c:v>-16946.528974579858</c:v>
                </c:pt>
                <c:pt idx="4">
                  <c:v>-27884.094140896977</c:v>
                </c:pt>
                <c:pt idx="5">
                  <c:v>-22457.474272497537</c:v>
                </c:pt>
                <c:pt idx="6">
                  <c:v>-16474.688402210595</c:v>
                </c:pt>
                <c:pt idx="7">
                  <c:v>-9761.6863872861941</c:v>
                </c:pt>
              </c:numCache>
            </c:numRef>
          </c:val>
        </c:ser>
        <c:dLbls>
          <c:showLegendKey val="0"/>
          <c:showVal val="0"/>
          <c:showCatName val="0"/>
          <c:showSerName val="0"/>
          <c:showPercent val="0"/>
          <c:showBubbleSize val="0"/>
        </c:dLbls>
        <c:gapWidth val="150"/>
        <c:axId val="132633600"/>
        <c:axId val="131550016"/>
      </c:barChart>
      <c:catAx>
        <c:axId val="132633600"/>
        <c:scaling>
          <c:orientation val="minMax"/>
        </c:scaling>
        <c:delete val="0"/>
        <c:axPos val="b"/>
        <c:majorTickMark val="out"/>
        <c:minorTickMark val="none"/>
        <c:tickLblPos val="nextTo"/>
        <c:crossAx val="131550016"/>
        <c:crosses val="autoZero"/>
        <c:auto val="1"/>
        <c:lblAlgn val="ctr"/>
        <c:lblOffset val="100"/>
        <c:noMultiLvlLbl val="0"/>
      </c:catAx>
      <c:valAx>
        <c:axId val="131550016"/>
        <c:scaling>
          <c:orientation val="minMax"/>
        </c:scaling>
        <c:delete val="0"/>
        <c:axPos val="l"/>
        <c:majorGridlines/>
        <c:numFmt formatCode="#,##0" sourceLinked="1"/>
        <c:majorTickMark val="out"/>
        <c:minorTickMark val="none"/>
        <c:tickLblPos val="nextTo"/>
        <c:crossAx val="132633600"/>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('Worst Case'!$P$18:$S$18,'Worst Case'!$U$18:$W$18)</c:f>
              <c:numCache>
                <c:formatCode>#,##0</c:formatCode>
                <c:ptCount val="7"/>
                <c:pt idx="0">
                  <c:v>21751.840816517106</c:v>
                </c:pt>
                <c:pt idx="1">
                  <c:v>24237.375087590401</c:v>
                </c:pt>
                <c:pt idx="2">
                  <c:v>27003.272753055007</c:v>
                </c:pt>
                <c:pt idx="3">
                  <c:v>30078.977575977202</c:v>
                </c:pt>
                <c:pt idx="4">
                  <c:v>91586.845292634724</c:v>
                </c:pt>
                <c:pt idx="5">
                  <c:v>148111.68729115033</c:v>
                </c:pt>
                <c:pt idx="6">
                  <c:v>195233.51423873584</c:v>
                </c:pt>
              </c:numCache>
            </c:numRef>
          </c:val>
        </c:ser>
        <c:ser>
          <c:idx val="1"/>
          <c:order val="1"/>
          <c:tx>
            <c:v>Income</c:v>
          </c:tx>
          <c:spPr>
            <a:solidFill>
              <a:srgbClr val="6DC71B"/>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('Worst Case'!$P$30:$S$30,'Worst Case'!$U$30:$W$30)</c:f>
              <c:numCache>
                <c:formatCode>#,##0\ "€"</c:formatCode>
                <c:ptCount val="7"/>
                <c:pt idx="0">
                  <c:v>60102.954782413537</c:v>
                </c:pt>
                <c:pt idx="1">
                  <c:v>74003.043919759846</c:v>
                </c:pt>
                <c:pt idx="2">
                  <c:v>90286.656655354644</c:v>
                </c:pt>
                <c:pt idx="3">
                  <c:v>109301.18009264905</c:v>
                </c:pt>
                <c:pt idx="4">
                  <c:v>1058492.6589569238</c:v>
                </c:pt>
                <c:pt idx="5">
                  <c:v>2373015.4725794727</c:v>
                </c:pt>
                <c:pt idx="6">
                  <c:v>3811131.7369817365</c:v>
                </c:pt>
              </c:numCache>
            </c:numRef>
          </c:val>
        </c:ser>
        <c:ser>
          <c:idx val="2"/>
          <c:order val="2"/>
          <c:tx>
            <c:v>Expenses</c:v>
          </c:tx>
          <c:spPr>
            <a:solidFill>
              <a:srgbClr val="FF0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('Worst Case'!$P$47:$S$47,'Worst Case'!$U$47:$W$47)</c:f>
              <c:numCache>
                <c:formatCode>#,##0\ "€"</c:formatCode>
                <c:ptCount val="7"/>
                <c:pt idx="0">
                  <c:v>68151.713358515437</c:v>
                </c:pt>
                <c:pt idx="1">
                  <c:v>81997.761967929837</c:v>
                </c:pt>
                <c:pt idx="2">
                  <c:v>102813.53148651216</c:v>
                </c:pt>
                <c:pt idx="3">
                  <c:v>124531.68475280351</c:v>
                </c:pt>
                <c:pt idx="4">
                  <c:v>834840.67153514444</c:v>
                </c:pt>
                <c:pt idx="5">
                  <c:v>1344518.2569571973</c:v>
                </c:pt>
                <c:pt idx="6">
                  <c:v>2053484.2917070407</c:v>
                </c:pt>
              </c:numCache>
            </c:numRef>
          </c:val>
        </c:ser>
        <c:ser>
          <c:idx val="3"/>
          <c:order val="3"/>
          <c:tx>
            <c:v>Result</c:v>
          </c:tx>
          <c:spPr>
            <a:solidFill>
              <a:srgbClr val="FFC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('Worst Case'!$P$49:$S$49,'Worst Case'!$U$49:$W$49)</c:f>
              <c:numCache>
                <c:formatCode>#,##0\ "€"</c:formatCode>
                <c:ptCount val="7"/>
                <c:pt idx="0">
                  <c:v>-8048.7585761019</c:v>
                </c:pt>
                <c:pt idx="1">
                  <c:v>-7994.7180481699907</c:v>
                </c:pt>
                <c:pt idx="2">
                  <c:v>-12526.874831157518</c:v>
                </c:pt>
                <c:pt idx="3">
                  <c:v>-15230.50466015446</c:v>
                </c:pt>
                <c:pt idx="4">
                  <c:v>223651.98742177931</c:v>
                </c:pt>
                <c:pt idx="5">
                  <c:v>1028497.2156222754</c:v>
                </c:pt>
                <c:pt idx="6">
                  <c:v>1757647.4452746958</c:v>
                </c:pt>
              </c:numCache>
            </c:numRef>
          </c:val>
        </c:ser>
        <c:dLbls>
          <c:showLegendKey val="0"/>
          <c:showVal val="0"/>
          <c:showCatName val="0"/>
          <c:showSerName val="0"/>
          <c:showPercent val="0"/>
          <c:showBubbleSize val="0"/>
        </c:dLbls>
        <c:gapWidth val="150"/>
        <c:axId val="132634624"/>
        <c:axId val="131551744"/>
      </c:barChart>
      <c:catAx>
        <c:axId val="132634624"/>
        <c:scaling>
          <c:orientation val="minMax"/>
        </c:scaling>
        <c:delete val="0"/>
        <c:axPos val="b"/>
        <c:majorTickMark val="out"/>
        <c:minorTickMark val="none"/>
        <c:tickLblPos val="nextTo"/>
        <c:crossAx val="131551744"/>
        <c:crosses val="autoZero"/>
        <c:auto val="1"/>
        <c:lblAlgn val="ctr"/>
        <c:lblOffset val="100"/>
        <c:noMultiLvlLbl val="0"/>
      </c:catAx>
      <c:valAx>
        <c:axId val="131551744"/>
        <c:scaling>
          <c:orientation val="minMax"/>
        </c:scaling>
        <c:delete val="0"/>
        <c:axPos val="l"/>
        <c:majorGridlines/>
        <c:numFmt formatCode="#,##0" sourceLinked="1"/>
        <c:majorTickMark val="out"/>
        <c:minorTickMark val="none"/>
        <c:tickLblPos val="nextTo"/>
        <c:crossAx val="132634624"/>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(Worst Case)</c:v>
          </c:tx>
          <c:spPr>
            <a:ln>
              <a:solidFill>
                <a:srgbClr val="6DC71B"/>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Networks'!$Y$4:$Y$25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1.0865521167239923E-2</c:v>
                </c:pt>
                <c:pt idx="17" formatCode="#,##0.00">
                  <c:v>1.9524335023017342E-2</c:v>
                </c:pt>
                <c:pt idx="18" formatCode="#,##0.00">
                  <c:v>3.0078977575977203E-2</c:v>
                </c:pt>
                <c:pt idx="19" formatCode="#,##0.00">
                  <c:v>9.1586845292634722E-2</c:v>
                </c:pt>
                <c:pt idx="20" formatCode="#,##0.00">
                  <c:v>0.14811168729115032</c:v>
                </c:pt>
                <c:pt idx="21" formatCode="#,##0.00">
                  <c:v>0.19523351423873583</c:v>
                </c:pt>
              </c:numCache>
            </c:numRef>
          </c:val>
          <c:smooth val="0"/>
        </c:ser>
        <c:ser>
          <c:idx val="7"/>
          <c:order val="7"/>
          <c:tx>
            <c:v>connect (You)</c:v>
          </c:tx>
          <c:spPr>
            <a:ln>
              <a:solidFill>
                <a:schemeClr val="accent6">
                  <a:lumMod val="75000"/>
                </a:schemeClr>
              </a:solidFill>
            </a:ln>
          </c:spPr>
          <c:marker>
            <c:symbol val="none"/>
          </c:marker>
          <c:val>
            <c:numRef>
              <c:f>'Comparision successful Networks'!$O$4:$O$25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4258688"/>
        <c:axId val="133920384"/>
      </c:lineChart>
      <c:catAx>
        <c:axId val="134258688"/>
        <c:scaling>
          <c:orientation val="minMax"/>
        </c:scaling>
        <c:delete val="0"/>
        <c:axPos val="b"/>
        <c:numFmt formatCode="@" sourceLinked="0"/>
        <c:majorTickMark val="out"/>
        <c:minorTickMark val="none"/>
        <c:tickLblPos val="nextTo"/>
        <c:crossAx val="133920384"/>
        <c:crosses val="autoZero"/>
        <c:auto val="1"/>
        <c:lblAlgn val="ctr"/>
        <c:lblOffset val="100"/>
        <c:noMultiLvlLbl val="0"/>
      </c:catAx>
      <c:valAx>
        <c:axId val="133920384"/>
        <c:scaling>
          <c:orientation val="minMax"/>
        </c:scaling>
        <c:delete val="0"/>
        <c:axPos val="l"/>
        <c:majorGridlines/>
        <c:numFmt formatCode="General" sourceLinked="1"/>
        <c:majorTickMark val="out"/>
        <c:minorTickMark val="none"/>
        <c:tickLblPos val="nextTo"/>
        <c:crossAx val="13425868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(Worst Case)</c:v>
          </c:tx>
          <c:spPr>
            <a:ln>
              <a:solidFill>
                <a:srgbClr val="6DC71B"/>
              </a:solidFill>
            </a:ln>
          </c:spPr>
          <c:marker>
            <c:symbol val="none"/>
          </c:marker>
          <c:val>
            <c:numRef>
              <c:f>'Comparision successful Networks'!$Y$20:$Y$25</c:f>
              <c:numCache>
                <c:formatCode>#,##0.00</c:formatCode>
                <c:ptCount val="6"/>
                <c:pt idx="0">
                  <c:v>1.0865521167239923E-2</c:v>
                </c:pt>
                <c:pt idx="1">
                  <c:v>1.9524335023017342E-2</c:v>
                </c:pt>
                <c:pt idx="2">
                  <c:v>3.0078977575977203E-2</c:v>
                </c:pt>
                <c:pt idx="3">
                  <c:v>9.1586845292634722E-2</c:v>
                </c:pt>
                <c:pt idx="4">
                  <c:v>0.14811168729115032</c:v>
                </c:pt>
                <c:pt idx="5">
                  <c:v>0.19523351423873583</c:v>
                </c:pt>
              </c:numCache>
            </c:numRef>
          </c:val>
          <c:smooth val="0"/>
        </c:ser>
        <c:ser>
          <c:idx val="7"/>
          <c:order val="7"/>
          <c:tx>
            <c:v>connect (You)</c:v>
          </c:tx>
          <c:spPr>
            <a:ln>
              <a:solidFill>
                <a:schemeClr val="accent6">
                  <a:lumMod val="75000"/>
                </a:schemeClr>
              </a:solidFill>
            </a:ln>
          </c:spPr>
          <c:marker>
            <c:symbol val="none"/>
          </c:marker>
          <c:val>
            <c:numRef>
              <c:f>'Comparision successful Networks'!$O$20:$O$25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4260736"/>
        <c:axId val="133915200"/>
      </c:lineChart>
      <c:catAx>
        <c:axId val="134260736"/>
        <c:scaling>
          <c:orientation val="minMax"/>
        </c:scaling>
        <c:delete val="0"/>
        <c:axPos val="b"/>
        <c:numFmt formatCode="General" sourceLinked="1"/>
        <c:majorTickMark val="out"/>
        <c:minorTickMark val="none"/>
        <c:tickLblPos val="nextTo"/>
        <c:crossAx val="133915200"/>
        <c:crosses val="autoZero"/>
        <c:auto val="1"/>
        <c:lblAlgn val="ctr"/>
        <c:lblOffset val="100"/>
        <c:noMultiLvlLbl val="0"/>
      </c:catAx>
      <c:valAx>
        <c:axId val="133915200"/>
        <c:scaling>
          <c:orientation val="minMax"/>
        </c:scaling>
        <c:delete val="0"/>
        <c:axPos val="l"/>
        <c:majorGridlines/>
        <c:numFmt formatCode="General" sourceLinked="1"/>
        <c:majorTickMark val="out"/>
        <c:minorTickMark val="none"/>
        <c:tickLblPos val="nextTo"/>
        <c:crossAx val="13426073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('Possible+'!$F$18:$I$18,'Possible+'!$K$18:$N$18)</c:f>
              <c:numCache>
                <c:formatCode>#,##0</c:formatCode>
                <c:ptCount val="8"/>
                <c:pt idx="0">
                  <c:v>2145.2140738464004</c:v>
                </c:pt>
                <c:pt idx="1">
                  <c:v>5119.0141529075154</c:v>
                </c:pt>
                <c:pt idx="2">
                  <c:v>36243.022037055875</c:v>
                </c:pt>
                <c:pt idx="3">
                  <c:v>94251.717865509258</c:v>
                </c:pt>
                <c:pt idx="4">
                  <c:v>205135.63432185003</c:v>
                </c:pt>
                <c:pt idx="5">
                  <c:v>420767.72869483707</c:v>
                </c:pt>
                <c:pt idx="6">
                  <c:v>839561.30688358773</c:v>
                </c:pt>
                <c:pt idx="7">
                  <c:v>1669275.0460331801</c:v>
                </c:pt>
              </c:numCache>
            </c:numRef>
          </c:val>
        </c:ser>
        <c:ser>
          <c:idx val="1"/>
          <c:order val="1"/>
          <c:tx>
            <c:v>Income</c:v>
          </c:tx>
          <c:spPr>
            <a:solidFill>
              <a:srgbClr val="6DC71B"/>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('Possible+'!$F$30:$I$30,'Possible+'!$K$30:$N$30)</c:f>
              <c:numCache>
                <c:formatCode>#,##0\ "€"</c:formatCode>
                <c:ptCount val="8"/>
                <c:pt idx="0">
                  <c:v>0</c:v>
                </c:pt>
                <c:pt idx="1">
                  <c:v>0</c:v>
                </c:pt>
                <c:pt idx="2">
                  <c:v>36967.049327299967</c:v>
                </c:pt>
                <c:pt idx="3">
                  <c:v>205221.59489155581</c:v>
                </c:pt>
                <c:pt idx="4">
                  <c:v>660322.8051065997</c:v>
                </c:pt>
                <c:pt idx="5">
                  <c:v>1763295.042597427</c:v>
                </c:pt>
                <c:pt idx="6">
                  <c:v>4327613.6104165353</c:v>
                </c:pt>
                <c:pt idx="7">
                  <c:v>10182600.174236454</c:v>
                </c:pt>
              </c:numCache>
            </c:numRef>
          </c:val>
        </c:ser>
        <c:ser>
          <c:idx val="2"/>
          <c:order val="2"/>
          <c:tx>
            <c:v>Expenses</c:v>
          </c:tx>
          <c:spPr>
            <a:solidFill>
              <a:srgbClr val="FF0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('Possible+'!$F$47:$I$47,'Possible+'!$K$47:$N$47)</c:f>
              <c:numCache>
                <c:formatCode>#,##0\ "€"</c:formatCode>
                <c:ptCount val="8"/>
                <c:pt idx="0">
                  <c:v>129082.35642221538</c:v>
                </c:pt>
                <c:pt idx="1">
                  <c:v>161168.57042458723</c:v>
                </c:pt>
                <c:pt idx="2">
                  <c:v>180755.20223058364</c:v>
                </c:pt>
                <c:pt idx="3">
                  <c:v>279384.08194954478</c:v>
                </c:pt>
                <c:pt idx="4">
                  <c:v>614055.25266914046</c:v>
                </c:pt>
                <c:pt idx="5">
                  <c:v>1402500.3211202798</c:v>
                </c:pt>
                <c:pt idx="6">
                  <c:v>3238046.3278249875</c:v>
                </c:pt>
                <c:pt idx="7">
                  <c:v>7169285.1278867209</c:v>
                </c:pt>
              </c:numCache>
            </c:numRef>
          </c:val>
        </c:ser>
        <c:ser>
          <c:idx val="3"/>
          <c:order val="3"/>
          <c:tx>
            <c:v>Result</c:v>
          </c:tx>
          <c:spPr>
            <a:solidFill>
              <a:srgbClr val="FFC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('Possible+'!$F$49:$I$49,'Possible+'!$K$49:$N$49)</c:f>
              <c:numCache>
                <c:formatCode>#,##0\ "€"</c:formatCode>
                <c:ptCount val="8"/>
                <c:pt idx="0">
                  <c:v>-129082.35642221538</c:v>
                </c:pt>
                <c:pt idx="1">
                  <c:v>-161168.57042458723</c:v>
                </c:pt>
                <c:pt idx="2">
                  <c:v>-143788.15290328368</c:v>
                </c:pt>
                <c:pt idx="3">
                  <c:v>-74162.487057988968</c:v>
                </c:pt>
                <c:pt idx="4">
                  <c:v>46267.552437459235</c:v>
                </c:pt>
                <c:pt idx="5">
                  <c:v>360794.72147714719</c:v>
                </c:pt>
                <c:pt idx="6">
                  <c:v>1089567.2825915478</c:v>
                </c:pt>
                <c:pt idx="7">
                  <c:v>3013315.0463497331</c:v>
                </c:pt>
              </c:numCache>
            </c:numRef>
          </c:val>
        </c:ser>
        <c:dLbls>
          <c:showLegendKey val="0"/>
          <c:showVal val="0"/>
          <c:showCatName val="0"/>
          <c:showSerName val="0"/>
          <c:showPercent val="0"/>
          <c:showBubbleSize val="0"/>
        </c:dLbls>
        <c:gapWidth val="150"/>
        <c:axId val="134120960"/>
        <c:axId val="133919232"/>
      </c:barChart>
      <c:catAx>
        <c:axId val="134120960"/>
        <c:scaling>
          <c:orientation val="minMax"/>
        </c:scaling>
        <c:delete val="0"/>
        <c:axPos val="b"/>
        <c:majorTickMark val="out"/>
        <c:minorTickMark val="none"/>
        <c:tickLblPos val="nextTo"/>
        <c:crossAx val="133919232"/>
        <c:crosses val="autoZero"/>
        <c:auto val="1"/>
        <c:lblAlgn val="ctr"/>
        <c:lblOffset val="100"/>
        <c:noMultiLvlLbl val="0"/>
      </c:catAx>
      <c:valAx>
        <c:axId val="133919232"/>
        <c:scaling>
          <c:orientation val="minMax"/>
        </c:scaling>
        <c:delete val="0"/>
        <c:axPos val="l"/>
        <c:majorGridlines/>
        <c:numFmt formatCode="#,##0" sourceLinked="1"/>
        <c:majorTickMark val="out"/>
        <c:minorTickMark val="none"/>
        <c:tickLblPos val="nextTo"/>
        <c:crossAx val="134120960"/>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('Possible+'!$P$18:$S$18,'Possible+'!$U$18:$W$18)</c:f>
              <c:numCache>
                <c:formatCode>#,##0</c:formatCode>
                <c:ptCount val="7"/>
                <c:pt idx="0">
                  <c:v>3320248.4107394414</c:v>
                </c:pt>
                <c:pt idx="1">
                  <c:v>6621363.6618823372</c:v>
                </c:pt>
                <c:pt idx="2">
                  <c:v>13516726.071675252</c:v>
                </c:pt>
                <c:pt idx="3">
                  <c:v>28150741.559136841</c:v>
                </c:pt>
                <c:pt idx="4">
                  <c:v>86012614.544390529</c:v>
                </c:pt>
                <c:pt idx="5">
                  <c:v>214843109.94454128</c:v>
                </c:pt>
                <c:pt idx="6">
                  <c:v>391929131.96852195</c:v>
                </c:pt>
              </c:numCache>
            </c:numRef>
          </c:val>
        </c:ser>
        <c:ser>
          <c:idx val="1"/>
          <c:order val="1"/>
          <c:tx>
            <c:v>Income</c:v>
          </c:tx>
          <c:spPr>
            <a:solidFill>
              <a:srgbClr val="6DC71B"/>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('Possible+'!$P$30:$S$30,'Possible+'!$U$30:$W$30)</c:f>
              <c:numCache>
                <c:formatCode>#,##0\ "€"</c:formatCode>
                <c:ptCount val="7"/>
                <c:pt idx="0">
                  <c:v>24448397.145790067</c:v>
                </c:pt>
                <c:pt idx="1">
                  <c:v>56136008.356383048</c:v>
                </c:pt>
                <c:pt idx="2">
                  <c:v>129031227.20123187</c:v>
                </c:pt>
                <c:pt idx="3">
                  <c:v>298601604.50235462</c:v>
                </c:pt>
                <c:pt idx="4">
                  <c:v>3589295915.8949008</c:v>
                </c:pt>
                <c:pt idx="5">
                  <c:v>11083524890.172249</c:v>
                </c:pt>
                <c:pt idx="6">
                  <c:v>25630059498.407795</c:v>
                </c:pt>
              </c:numCache>
            </c:numRef>
          </c:val>
        </c:ser>
        <c:ser>
          <c:idx val="2"/>
          <c:order val="2"/>
          <c:tx>
            <c:v>Expenses</c:v>
          </c:tx>
          <c:spPr>
            <a:solidFill>
              <a:srgbClr val="FF0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('Possible+'!$P$47:$S$47,'Possible+'!$U$47:$W$47)</c:f>
              <c:numCache>
                <c:formatCode>#,##0\ "€"</c:formatCode>
                <c:ptCount val="7"/>
                <c:pt idx="0">
                  <c:v>15632860.374863558</c:v>
                </c:pt>
                <c:pt idx="1">
                  <c:v>33975497.314693503</c:v>
                </c:pt>
                <c:pt idx="2">
                  <c:v>71514554.897761688</c:v>
                </c:pt>
                <c:pt idx="3">
                  <c:v>141313138.17417613</c:v>
                </c:pt>
                <c:pt idx="4">
                  <c:v>2124903082.1456759</c:v>
                </c:pt>
                <c:pt idx="5">
                  <c:v>4720421328.9319582</c:v>
                </c:pt>
                <c:pt idx="6">
                  <c:v>10038990148.15943</c:v>
                </c:pt>
              </c:numCache>
            </c:numRef>
          </c:val>
        </c:ser>
        <c:ser>
          <c:idx val="3"/>
          <c:order val="3"/>
          <c:tx>
            <c:v>Result</c:v>
          </c:tx>
          <c:spPr>
            <a:solidFill>
              <a:srgbClr val="FFC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('Possible+'!$P$49:$S$49,'Possible+'!$U$49:$W$49)</c:f>
              <c:numCache>
                <c:formatCode>#,##0\ "€"</c:formatCode>
                <c:ptCount val="7"/>
                <c:pt idx="0">
                  <c:v>8815536.7709265091</c:v>
                </c:pt>
                <c:pt idx="1">
                  <c:v>22160511.041689545</c:v>
                </c:pt>
                <c:pt idx="2">
                  <c:v>57516672.303470179</c:v>
                </c:pt>
                <c:pt idx="3">
                  <c:v>157288466.3281785</c:v>
                </c:pt>
                <c:pt idx="4">
                  <c:v>1464392833.7492249</c:v>
                </c:pt>
                <c:pt idx="5">
                  <c:v>6363103561.2402906</c:v>
                </c:pt>
                <c:pt idx="6">
                  <c:v>15591069350.248365</c:v>
                </c:pt>
              </c:numCache>
            </c:numRef>
          </c:val>
        </c:ser>
        <c:dLbls>
          <c:showLegendKey val="0"/>
          <c:showVal val="0"/>
          <c:showCatName val="0"/>
          <c:showSerName val="0"/>
          <c:showPercent val="0"/>
          <c:showBubbleSize val="0"/>
        </c:dLbls>
        <c:gapWidth val="150"/>
        <c:axId val="134121984"/>
        <c:axId val="133922112"/>
      </c:barChart>
      <c:catAx>
        <c:axId val="134121984"/>
        <c:scaling>
          <c:orientation val="minMax"/>
        </c:scaling>
        <c:delete val="0"/>
        <c:axPos val="b"/>
        <c:majorTickMark val="out"/>
        <c:minorTickMark val="none"/>
        <c:tickLblPos val="nextTo"/>
        <c:crossAx val="133922112"/>
        <c:crosses val="autoZero"/>
        <c:auto val="1"/>
        <c:lblAlgn val="ctr"/>
        <c:lblOffset val="100"/>
        <c:noMultiLvlLbl val="0"/>
      </c:catAx>
      <c:valAx>
        <c:axId val="133922112"/>
        <c:scaling>
          <c:orientation val="minMax"/>
        </c:scaling>
        <c:delete val="0"/>
        <c:axPos val="l"/>
        <c:majorGridlines/>
        <c:numFmt formatCode="#,##0" sourceLinked="1"/>
        <c:majorTickMark val="out"/>
        <c:minorTickMark val="none"/>
        <c:tickLblPos val="nextTo"/>
        <c:crossAx val="134121984"/>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Networks'!$Q$4:$Q$25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5.5007231534220366E-2</c:v>
                </c:pt>
                <c:pt idx="17" formatCode="#,##0.00">
                  <c:v>0.26211723812496734</c:v>
                </c:pt>
                <c:pt idx="18" formatCode="#,##0.00">
                  <c:v>2.0163530394777931</c:v>
                </c:pt>
                <c:pt idx="19" formatCode="#,##0.00">
                  <c:v>5.8912056794336474</c:v>
                </c:pt>
                <c:pt idx="20" formatCode="#,##0.00">
                  <c:v>14.010941670429698</c:v>
                </c:pt>
                <c:pt idx="21"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25339648"/>
        <c:axId val="126995840"/>
      </c:lineChart>
      <c:catAx>
        <c:axId val="125339648"/>
        <c:scaling>
          <c:orientation val="minMax"/>
        </c:scaling>
        <c:delete val="0"/>
        <c:axPos val="b"/>
        <c:numFmt formatCode="@" sourceLinked="0"/>
        <c:majorTickMark val="out"/>
        <c:minorTickMark val="none"/>
        <c:tickLblPos val="nextTo"/>
        <c:crossAx val="126995840"/>
        <c:crosses val="autoZero"/>
        <c:auto val="1"/>
        <c:lblAlgn val="ctr"/>
        <c:lblOffset val="100"/>
        <c:noMultiLvlLbl val="0"/>
      </c:catAx>
      <c:valAx>
        <c:axId val="126995840"/>
        <c:scaling>
          <c:orientation val="minMax"/>
        </c:scaling>
        <c:delete val="0"/>
        <c:axPos val="l"/>
        <c:majorGridlines/>
        <c:numFmt formatCode="General" sourceLinked="1"/>
        <c:majorTickMark val="out"/>
        <c:minorTickMark val="none"/>
        <c:tickLblPos val="nextTo"/>
        <c:crossAx val="12533964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(Possible)</c:v>
          </c:tx>
          <c:spPr>
            <a:ln>
              <a:solidFill>
                <a:srgbClr val="6DC71B"/>
              </a:solidFill>
            </a:ln>
          </c:spPr>
          <c:marker>
            <c:symbol val="none"/>
          </c:marker>
          <c:val>
            <c:numRef>
              <c:f>'Comparision successful Networks'!$AA$20:$AA$25</c:f>
              <c:numCache>
                <c:formatCode>#,##0.00</c:formatCode>
                <c:ptCount val="6"/>
                <c:pt idx="0">
                  <c:v>9.425171786550926E-2</c:v>
                </c:pt>
                <c:pt idx="1">
                  <c:v>1.66927504603318</c:v>
                </c:pt>
                <c:pt idx="2">
                  <c:v>28.15074155913684</c:v>
                </c:pt>
                <c:pt idx="3">
                  <c:v>86.01261454439053</c:v>
                </c:pt>
                <c:pt idx="4">
                  <c:v>214.84310994454128</c:v>
                </c:pt>
                <c:pt idx="5">
                  <c:v>391.92913196852197</c:v>
                </c:pt>
              </c:numCache>
            </c:numRef>
          </c:val>
          <c:smooth val="0"/>
        </c:ser>
        <c:ser>
          <c:idx val="7"/>
          <c:order val="7"/>
          <c:tx>
            <c:v>connect (You)</c:v>
          </c:tx>
          <c:spPr>
            <a:ln>
              <a:solidFill>
                <a:schemeClr val="accent6">
                  <a:lumMod val="75000"/>
                </a:schemeClr>
              </a:solidFill>
            </a:ln>
          </c:spPr>
          <c:marker>
            <c:symbol val="none"/>
          </c:marker>
          <c:val>
            <c:numRef>
              <c:f>'Comparision successful Networks'!$O$20:$O$25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5450624"/>
        <c:axId val="135341184"/>
      </c:lineChart>
      <c:catAx>
        <c:axId val="135450624"/>
        <c:scaling>
          <c:orientation val="minMax"/>
        </c:scaling>
        <c:delete val="0"/>
        <c:axPos val="b"/>
        <c:numFmt formatCode="General" sourceLinked="1"/>
        <c:majorTickMark val="out"/>
        <c:minorTickMark val="none"/>
        <c:tickLblPos val="nextTo"/>
        <c:crossAx val="135341184"/>
        <c:crosses val="autoZero"/>
        <c:auto val="1"/>
        <c:lblAlgn val="ctr"/>
        <c:lblOffset val="100"/>
        <c:noMultiLvlLbl val="0"/>
      </c:catAx>
      <c:valAx>
        <c:axId val="135341184"/>
        <c:scaling>
          <c:orientation val="minMax"/>
        </c:scaling>
        <c:delete val="0"/>
        <c:axPos val="l"/>
        <c:majorGridlines/>
        <c:numFmt formatCode="General" sourceLinked="1"/>
        <c:majorTickMark val="out"/>
        <c:minorTickMark val="none"/>
        <c:tickLblPos val="nextTo"/>
        <c:crossAx val="13545062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(Possible)</c:v>
          </c:tx>
          <c:spPr>
            <a:ln>
              <a:solidFill>
                <a:srgbClr val="6DC71B"/>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Networks'!$AA$4:$AA$25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9.425171786550926E-2</c:v>
                </c:pt>
                <c:pt idx="17" formatCode="#,##0.00">
                  <c:v>1.66927504603318</c:v>
                </c:pt>
                <c:pt idx="18" formatCode="#,##0.00">
                  <c:v>28.15074155913684</c:v>
                </c:pt>
                <c:pt idx="19" formatCode="#,##0.00">
                  <c:v>86.01261454439053</c:v>
                </c:pt>
                <c:pt idx="20" formatCode="#,##0.00">
                  <c:v>214.84310994454128</c:v>
                </c:pt>
                <c:pt idx="21" formatCode="#,##0.00">
                  <c:v>391.92913196852197</c:v>
                </c:pt>
              </c:numCache>
            </c:numRef>
          </c:val>
          <c:smooth val="0"/>
        </c:ser>
        <c:ser>
          <c:idx val="7"/>
          <c:order val="7"/>
          <c:tx>
            <c:v>connect (You)</c:v>
          </c:tx>
          <c:spPr>
            <a:ln>
              <a:solidFill>
                <a:schemeClr val="accent6">
                  <a:lumMod val="75000"/>
                </a:schemeClr>
              </a:solidFill>
            </a:ln>
          </c:spPr>
          <c:marker>
            <c:symbol val="none"/>
          </c:marker>
          <c:val>
            <c:numRef>
              <c:f>'Comparision successful Networks'!$O$4:$O$25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5451136"/>
        <c:axId val="135791744"/>
      </c:lineChart>
      <c:catAx>
        <c:axId val="135451136"/>
        <c:scaling>
          <c:orientation val="minMax"/>
        </c:scaling>
        <c:delete val="0"/>
        <c:axPos val="b"/>
        <c:numFmt formatCode="@" sourceLinked="0"/>
        <c:majorTickMark val="out"/>
        <c:minorTickMark val="none"/>
        <c:tickLblPos val="nextTo"/>
        <c:crossAx val="135791744"/>
        <c:crosses val="autoZero"/>
        <c:auto val="1"/>
        <c:lblAlgn val="ctr"/>
        <c:lblOffset val="100"/>
        <c:noMultiLvlLbl val="0"/>
      </c:catAx>
      <c:valAx>
        <c:axId val="135791744"/>
        <c:scaling>
          <c:orientation val="minMax"/>
        </c:scaling>
        <c:delete val="0"/>
        <c:axPos val="l"/>
        <c:majorGridlines/>
        <c:numFmt formatCode="General" sourceLinked="1"/>
        <c:majorTickMark val="out"/>
        <c:minorTickMark val="none"/>
        <c:tickLblPos val="nextTo"/>
        <c:crossAx val="13545113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'Comparision successful Networks'!$Q$20:$Q$25</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'Comparision successful Networks'!$O$20:$O$25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25338624"/>
        <c:axId val="124344512"/>
      </c:lineChart>
      <c:catAx>
        <c:axId val="125338624"/>
        <c:scaling>
          <c:orientation val="minMax"/>
        </c:scaling>
        <c:delete val="0"/>
        <c:axPos val="b"/>
        <c:numFmt formatCode="General" sourceLinked="1"/>
        <c:majorTickMark val="out"/>
        <c:minorTickMark val="none"/>
        <c:tickLblPos val="nextTo"/>
        <c:crossAx val="124344512"/>
        <c:crosses val="autoZero"/>
        <c:auto val="1"/>
        <c:lblAlgn val="ctr"/>
        <c:lblOffset val="100"/>
        <c:noMultiLvlLbl val="0"/>
      </c:catAx>
      <c:valAx>
        <c:axId val="124344512"/>
        <c:scaling>
          <c:orientation val="minMax"/>
        </c:scaling>
        <c:delete val="0"/>
        <c:axPos val="l"/>
        <c:majorGridlines/>
        <c:numFmt formatCode="General" sourceLinked="1"/>
        <c:majorTickMark val="out"/>
        <c:minorTickMark val="none"/>
        <c:tickLblPos val="nextTo"/>
        <c:crossAx val="12533862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Networks'!$Q$20:$Q$25</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27365120"/>
        <c:axId val="126994112"/>
      </c:lineChart>
      <c:catAx>
        <c:axId val="127365120"/>
        <c:scaling>
          <c:orientation val="minMax"/>
        </c:scaling>
        <c:delete val="0"/>
        <c:axPos val="b"/>
        <c:numFmt formatCode="General" sourceLinked="1"/>
        <c:majorTickMark val="out"/>
        <c:minorTickMark val="none"/>
        <c:tickLblPos val="nextTo"/>
        <c:crossAx val="126994112"/>
        <c:crosses val="autoZero"/>
        <c:auto val="1"/>
        <c:lblAlgn val="ctr"/>
        <c:lblOffset val="100"/>
        <c:noMultiLvlLbl val="0"/>
      </c:catAx>
      <c:valAx>
        <c:axId val="126994112"/>
        <c:scaling>
          <c:orientation val="minMax"/>
        </c:scaling>
        <c:delete val="0"/>
        <c:axPos val="l"/>
        <c:majorGridlines/>
        <c:numFmt formatCode="General" sourceLinked="1"/>
        <c:majorTickMark val="out"/>
        <c:minorTickMark val="none"/>
        <c:tickLblPos val="nextTo"/>
        <c:crossAx val="12736512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(Realistic!$F$18:$I$18,Realistic!$K$18:$N$18)</c:f>
              <c:numCache>
                <c:formatCode>#,##0</c:formatCode>
                <c:ptCount val="8"/>
                <c:pt idx="0">
                  <c:v>2145.2140738464004</c:v>
                </c:pt>
                <c:pt idx="1">
                  <c:v>5119.0141529075154</c:v>
                </c:pt>
                <c:pt idx="2">
                  <c:v>27942.734019535787</c:v>
                </c:pt>
                <c:pt idx="3">
                  <c:v>55007.231534220366</c:v>
                </c:pt>
                <c:pt idx="4">
                  <c:v>85023.52850812026</c:v>
                </c:pt>
                <c:pt idx="5">
                  <c:v>123038.11087883086</c:v>
                </c:pt>
                <c:pt idx="6">
                  <c:v>174250.13247158632</c:v>
                </c:pt>
                <c:pt idx="7">
                  <c:v>262117.23812496735</c:v>
                </c:pt>
              </c:numCache>
            </c:numRef>
          </c:val>
        </c:ser>
        <c:ser>
          <c:idx val="1"/>
          <c:order val="1"/>
          <c:tx>
            <c:v>Income</c:v>
          </c:tx>
          <c:spPr>
            <a:solidFill>
              <a:srgbClr val="6DC71B"/>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(Realistic!$F$30:$I$30,Realistic!$K$30:$N$30)</c:f>
              <c:numCache>
                <c:formatCode>#,##0\ "€"</c:formatCode>
                <c:ptCount val="8"/>
                <c:pt idx="0">
                  <c:v>0</c:v>
                </c:pt>
                <c:pt idx="1">
                  <c:v>0</c:v>
                </c:pt>
                <c:pt idx="2">
                  <c:v>17993.912384890558</c:v>
                </c:pt>
                <c:pt idx="3">
                  <c:v>97389.270813391558</c:v>
                </c:pt>
                <c:pt idx="4">
                  <c:v>202157.57184568781</c:v>
                </c:pt>
                <c:pt idx="5">
                  <c:v>413781.12755369837</c:v>
                </c:pt>
                <c:pt idx="6">
                  <c:v>754137.60989572306</c:v>
                </c:pt>
                <c:pt idx="7">
                  <c:v>1360352.5349712914</c:v>
                </c:pt>
              </c:numCache>
            </c:numRef>
          </c:val>
        </c:ser>
        <c:ser>
          <c:idx val="2"/>
          <c:order val="2"/>
          <c:tx>
            <c:v>Expenses</c:v>
          </c:tx>
          <c:spPr>
            <a:solidFill>
              <a:srgbClr val="FF0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(Realistic!$F$47:$I$47,Realistic!$K$47:$N$47)</c:f>
              <c:numCache>
                <c:formatCode>#,##0\ "€"</c:formatCode>
                <c:ptCount val="8"/>
                <c:pt idx="0">
                  <c:v>123682.35642221538</c:v>
                </c:pt>
                <c:pt idx="1">
                  <c:v>155768.57042458723</c:v>
                </c:pt>
                <c:pt idx="2">
                  <c:v>159742.47563002061</c:v>
                </c:pt>
                <c:pt idx="3">
                  <c:v>183172.23379109518</c:v>
                </c:pt>
                <c:pt idx="4">
                  <c:v>273868.21632011927</c:v>
                </c:pt>
                <c:pt idx="5">
                  <c:v>381038.8888008545</c:v>
                </c:pt>
                <c:pt idx="6">
                  <c:v>607957.61815712356</c:v>
                </c:pt>
                <c:pt idx="7">
                  <c:v>988254.02804188093</c:v>
                </c:pt>
              </c:numCache>
            </c:numRef>
          </c:val>
        </c:ser>
        <c:ser>
          <c:idx val="3"/>
          <c:order val="3"/>
          <c:tx>
            <c:v>Result</c:v>
          </c:tx>
          <c:spPr>
            <a:solidFill>
              <a:srgbClr val="FFC000"/>
            </a:solidFill>
          </c:spPr>
          <c:invertIfNegative val="0"/>
          <c:cat>
            <c:strRef>
              <c:f>'Result of your Estimation'!$B$260:$I$260</c:f>
              <c:strCache>
                <c:ptCount val="8"/>
                <c:pt idx="0">
                  <c:v>Q1 2019</c:v>
                </c:pt>
                <c:pt idx="1">
                  <c:v>Q2 2019</c:v>
                </c:pt>
                <c:pt idx="2">
                  <c:v>Q3 2019</c:v>
                </c:pt>
                <c:pt idx="3">
                  <c:v>Q4 2019</c:v>
                </c:pt>
                <c:pt idx="4">
                  <c:v>Q1 2020</c:v>
                </c:pt>
                <c:pt idx="5">
                  <c:v>Q2 2020</c:v>
                </c:pt>
                <c:pt idx="6">
                  <c:v>Q3 2020</c:v>
                </c:pt>
                <c:pt idx="7">
                  <c:v>Q4 2020</c:v>
                </c:pt>
              </c:strCache>
            </c:strRef>
          </c:cat>
          <c:val>
            <c:numRef>
              <c:f>(Realistic!$F$49:$I$49,Realistic!$K$49:$N$49)</c:f>
              <c:numCache>
                <c:formatCode>#,##0\ "€"</c:formatCode>
                <c:ptCount val="8"/>
                <c:pt idx="0">
                  <c:v>-123682.35642221538</c:v>
                </c:pt>
                <c:pt idx="1">
                  <c:v>-155768.57042458723</c:v>
                </c:pt>
                <c:pt idx="2">
                  <c:v>-141748.56324513006</c:v>
                </c:pt>
                <c:pt idx="3">
                  <c:v>-85782.962977703617</c:v>
                </c:pt>
                <c:pt idx="4">
                  <c:v>-71710.644474431465</c:v>
                </c:pt>
                <c:pt idx="5">
                  <c:v>32742.23875284387</c:v>
                </c:pt>
                <c:pt idx="6">
                  <c:v>146179.99173859949</c:v>
                </c:pt>
                <c:pt idx="7">
                  <c:v>372098.50692941051</c:v>
                </c:pt>
              </c:numCache>
            </c:numRef>
          </c:val>
        </c:ser>
        <c:dLbls>
          <c:showLegendKey val="0"/>
          <c:showVal val="0"/>
          <c:showCatName val="0"/>
          <c:showSerName val="0"/>
          <c:showPercent val="0"/>
          <c:showBubbleSize val="0"/>
        </c:dLbls>
        <c:gapWidth val="150"/>
        <c:axId val="126201856"/>
        <c:axId val="126998144"/>
      </c:barChart>
      <c:catAx>
        <c:axId val="126201856"/>
        <c:scaling>
          <c:orientation val="minMax"/>
        </c:scaling>
        <c:delete val="0"/>
        <c:axPos val="b"/>
        <c:majorTickMark val="out"/>
        <c:minorTickMark val="none"/>
        <c:tickLblPos val="nextTo"/>
        <c:crossAx val="126998144"/>
        <c:crosses val="autoZero"/>
        <c:auto val="1"/>
        <c:lblAlgn val="ctr"/>
        <c:lblOffset val="100"/>
        <c:noMultiLvlLbl val="0"/>
      </c:catAx>
      <c:valAx>
        <c:axId val="126998144"/>
        <c:scaling>
          <c:orientation val="minMax"/>
        </c:scaling>
        <c:delete val="0"/>
        <c:axPos val="l"/>
        <c:majorGridlines/>
        <c:numFmt formatCode="#,##0" sourceLinked="1"/>
        <c:majorTickMark val="out"/>
        <c:minorTickMark val="none"/>
        <c:tickLblPos val="nextTo"/>
        <c:crossAx val="126201856"/>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(Realistic!$P$18:$S$18,Realistic!$U$18:$W$18)</c:f>
              <c:numCache>
                <c:formatCode>#,##0</c:formatCode>
                <c:ptCount val="7"/>
                <c:pt idx="0">
                  <c:v>411239.44837531581</c:v>
                </c:pt>
                <c:pt idx="1">
                  <c:v>671107.08655750507</c:v>
                </c:pt>
                <c:pt idx="2">
                  <c:v>1140331.4311950742</c:v>
                </c:pt>
                <c:pt idx="3">
                  <c:v>2016353.039477793</c:v>
                </c:pt>
                <c:pt idx="4">
                  <c:v>5891205.6794336475</c:v>
                </c:pt>
                <c:pt idx="5">
                  <c:v>14010941.670429699</c:v>
                </c:pt>
                <c:pt idx="6">
                  <c:v>25294677.306404136</c:v>
                </c:pt>
              </c:numCache>
            </c:numRef>
          </c:val>
        </c:ser>
        <c:ser>
          <c:idx val="1"/>
          <c:order val="1"/>
          <c:tx>
            <c:v>Income</c:v>
          </c:tx>
          <c:spPr>
            <a:solidFill>
              <a:srgbClr val="6DC71B"/>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(Realistic!$P$30:$S$30,Realistic!$U$30:$W$30)</c:f>
              <c:numCache>
                <c:formatCode>#,##0\ "€"</c:formatCode>
                <c:ptCount val="7"/>
                <c:pt idx="0">
                  <c:v>2489171.3646994596</c:v>
                </c:pt>
                <c:pt idx="1">
                  <c:v>4631814.2023573956</c:v>
                </c:pt>
                <c:pt idx="2">
                  <c:v>8816908.4287794307</c:v>
                </c:pt>
                <c:pt idx="3">
                  <c:v>17233027.014297996</c:v>
                </c:pt>
                <c:pt idx="4">
                  <c:v>192153676.86954805</c:v>
                </c:pt>
                <c:pt idx="5">
                  <c:v>567211199.47110546</c:v>
                </c:pt>
                <c:pt idx="6">
                  <c:v>1285293740.5424666</c:v>
                </c:pt>
              </c:numCache>
            </c:numRef>
          </c:val>
        </c:ser>
        <c:ser>
          <c:idx val="2"/>
          <c:order val="2"/>
          <c:tx>
            <c:v>Expenses</c:v>
          </c:tx>
          <c:spPr>
            <a:solidFill>
              <a:srgbClr val="FF0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(Realistic!$P$47:$S$47,Realistic!$U$47:$W$47)</c:f>
              <c:numCache>
                <c:formatCode>#,##0\ "€"</c:formatCode>
                <c:ptCount val="7"/>
                <c:pt idx="0">
                  <c:v>1644431.1707234757</c:v>
                </c:pt>
                <c:pt idx="1">
                  <c:v>2813907.8065774343</c:v>
                </c:pt>
                <c:pt idx="2">
                  <c:v>4935382.7765534883</c:v>
                </c:pt>
                <c:pt idx="3">
                  <c:v>8958864.5474205725</c:v>
                </c:pt>
                <c:pt idx="4">
                  <c:v>114655185.71410616</c:v>
                </c:pt>
                <c:pt idx="5">
                  <c:v>256832945.40151772</c:v>
                </c:pt>
                <c:pt idx="6">
                  <c:v>548041469.54709494</c:v>
                </c:pt>
              </c:numCache>
            </c:numRef>
          </c:val>
        </c:ser>
        <c:ser>
          <c:idx val="3"/>
          <c:order val="3"/>
          <c:tx>
            <c:v>Result</c:v>
          </c:tx>
          <c:spPr>
            <a:solidFill>
              <a:srgbClr val="FFC000"/>
            </a:solidFill>
          </c:spPr>
          <c:invertIfNegative val="0"/>
          <c:cat>
            <c:strRef>
              <c:f>'Result of your Estimation'!$J$260:$P$260</c:f>
              <c:strCache>
                <c:ptCount val="7"/>
                <c:pt idx="0">
                  <c:v>Q1 2021</c:v>
                </c:pt>
                <c:pt idx="1">
                  <c:v>Q2 2021</c:v>
                </c:pt>
                <c:pt idx="2">
                  <c:v>Q3 2021</c:v>
                </c:pt>
                <c:pt idx="3">
                  <c:v>Q4 2021</c:v>
                </c:pt>
                <c:pt idx="4">
                  <c:v>2022</c:v>
                </c:pt>
                <c:pt idx="5">
                  <c:v>2023</c:v>
                </c:pt>
                <c:pt idx="6">
                  <c:v>2024</c:v>
                </c:pt>
              </c:strCache>
            </c:strRef>
          </c:cat>
          <c:val>
            <c:numRef>
              <c:f>(Realistic!$P$49:$S$49,Realistic!$U$49:$W$49)</c:f>
              <c:numCache>
                <c:formatCode>#,##0\ "€"</c:formatCode>
                <c:ptCount val="7"/>
                <c:pt idx="0">
                  <c:v>844740.19397598389</c:v>
                </c:pt>
                <c:pt idx="1">
                  <c:v>1817906.3957799613</c:v>
                </c:pt>
                <c:pt idx="2">
                  <c:v>3881525.6522259424</c:v>
                </c:pt>
                <c:pt idx="3">
                  <c:v>8274162.4668774232</c:v>
                </c:pt>
                <c:pt idx="4">
                  <c:v>77498491.155441895</c:v>
                </c:pt>
                <c:pt idx="5">
                  <c:v>310378254.06958771</c:v>
                </c:pt>
                <c:pt idx="6">
                  <c:v>737252270.9953717</c:v>
                </c:pt>
              </c:numCache>
            </c:numRef>
          </c:val>
        </c:ser>
        <c:dLbls>
          <c:showLegendKey val="0"/>
          <c:showVal val="0"/>
          <c:showCatName val="0"/>
          <c:showSerName val="0"/>
          <c:showPercent val="0"/>
          <c:showBubbleSize val="0"/>
        </c:dLbls>
        <c:gapWidth val="150"/>
        <c:axId val="126202880"/>
        <c:axId val="126999872"/>
      </c:barChart>
      <c:catAx>
        <c:axId val="126202880"/>
        <c:scaling>
          <c:orientation val="minMax"/>
        </c:scaling>
        <c:delete val="0"/>
        <c:axPos val="b"/>
        <c:majorTickMark val="out"/>
        <c:minorTickMark val="none"/>
        <c:tickLblPos val="nextTo"/>
        <c:crossAx val="126999872"/>
        <c:crosses val="autoZero"/>
        <c:auto val="1"/>
        <c:lblAlgn val="ctr"/>
        <c:lblOffset val="100"/>
        <c:noMultiLvlLbl val="0"/>
      </c:catAx>
      <c:valAx>
        <c:axId val="126999872"/>
        <c:scaling>
          <c:orientation val="minMax"/>
        </c:scaling>
        <c:delete val="0"/>
        <c:axPos val="l"/>
        <c:majorGridlines/>
        <c:numFmt formatCode="#,##0" sourceLinked="1"/>
        <c:majorTickMark val="out"/>
        <c:minorTickMark val="none"/>
        <c:tickLblPos val="nextTo"/>
        <c:crossAx val="126202880"/>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(Realistic)</c:v>
          </c:tx>
          <c:spPr>
            <a:ln>
              <a:solidFill>
                <a:srgbClr val="6DC71B"/>
              </a:solidFill>
            </a:ln>
          </c:spPr>
          <c:marker>
            <c:symbol val="none"/>
          </c:marker>
          <c:cat>
            <c:numRef>
              <c:f>'Comparision successful Networks'!$B$4:$B$25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'Comparision successful Networks'!$Q$4:$Q$25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5.5007231534220366E-2</c:v>
                </c:pt>
                <c:pt idx="17" formatCode="#,##0.00">
                  <c:v>0.26211723812496734</c:v>
                </c:pt>
                <c:pt idx="18" formatCode="#,##0.00">
                  <c:v>2.0163530394777931</c:v>
                </c:pt>
                <c:pt idx="19" formatCode="#,##0.00">
                  <c:v>5.8912056794336474</c:v>
                </c:pt>
                <c:pt idx="20" formatCode="#,##0.00">
                  <c:v>14.010941670429698</c:v>
                </c:pt>
                <c:pt idx="21" formatCode="#,##0.00">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26203904"/>
        <c:axId val="127588544"/>
      </c:lineChart>
      <c:catAx>
        <c:axId val="126203904"/>
        <c:scaling>
          <c:orientation val="minMax"/>
        </c:scaling>
        <c:delete val="0"/>
        <c:axPos val="b"/>
        <c:numFmt formatCode="@" sourceLinked="0"/>
        <c:majorTickMark val="out"/>
        <c:minorTickMark val="none"/>
        <c:tickLblPos val="nextTo"/>
        <c:crossAx val="127588544"/>
        <c:crosses val="autoZero"/>
        <c:auto val="1"/>
        <c:lblAlgn val="ctr"/>
        <c:lblOffset val="100"/>
        <c:noMultiLvlLbl val="0"/>
      </c:catAx>
      <c:valAx>
        <c:axId val="127588544"/>
        <c:scaling>
          <c:orientation val="minMax"/>
        </c:scaling>
        <c:delete val="0"/>
        <c:axPos val="l"/>
        <c:majorGridlines/>
        <c:numFmt formatCode="General" sourceLinked="1"/>
        <c:majorTickMark val="out"/>
        <c:minorTickMark val="none"/>
        <c:tickLblPos val="nextTo"/>
        <c:crossAx val="12620390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'Comparision successful Networks'!$C$5:$C$18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'Comparision successful Networks'!$E$9:$E$18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'Comparision successful Networks'!$G$12:$G$18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'Comparision successful Networks'!$I$11:$I$18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'Comparision successful Networks'!$K$4:$K$16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'Comparision successful Networks'!$M$7:$M$17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(Realistic)</c:v>
          </c:tx>
          <c:spPr>
            <a:ln>
              <a:solidFill>
                <a:srgbClr val="6DC71B"/>
              </a:solidFill>
            </a:ln>
          </c:spPr>
          <c:marker>
            <c:symbol val="none"/>
          </c:marker>
          <c:val>
            <c:numRef>
              <c:f>'Comparision successful Networks'!$Q$20:$Q$25</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(You)</c:v>
          </c:tx>
          <c:spPr>
            <a:ln>
              <a:solidFill>
                <a:schemeClr val="accent6">
                  <a:lumMod val="75000"/>
                </a:schemeClr>
              </a:solidFill>
            </a:ln>
          </c:spPr>
          <c:marker>
            <c:symbol val="none"/>
          </c:marker>
          <c:val>
            <c:numRef>
              <c:f>'Comparision successful Networks'!$O$20:$O$25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26204928"/>
        <c:axId val="127589120"/>
      </c:lineChart>
      <c:catAx>
        <c:axId val="126204928"/>
        <c:scaling>
          <c:orientation val="minMax"/>
        </c:scaling>
        <c:delete val="0"/>
        <c:axPos val="b"/>
        <c:numFmt formatCode="General" sourceLinked="1"/>
        <c:majorTickMark val="out"/>
        <c:minorTickMark val="none"/>
        <c:tickLblPos val="nextTo"/>
        <c:crossAx val="127589120"/>
        <c:crosses val="autoZero"/>
        <c:auto val="1"/>
        <c:lblAlgn val="ctr"/>
        <c:lblOffset val="100"/>
        <c:noMultiLvlLbl val="0"/>
      </c:catAx>
      <c:valAx>
        <c:axId val="127589120"/>
        <c:scaling>
          <c:orientation val="minMax"/>
        </c:scaling>
        <c:delete val="0"/>
        <c:axPos val="l"/>
        <c:majorGridlines/>
        <c:numFmt formatCode="General" sourceLinked="1"/>
        <c:majorTickMark val="out"/>
        <c:minorTickMark val="none"/>
        <c:tickLblPos val="nextTo"/>
        <c:crossAx val="12620492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20</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20</xdr:col>
      <xdr:colOff>3173</xdr:colOff>
      <xdr:row>176</xdr:row>
      <xdr:rowOff>79374</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20</xdr:col>
      <xdr:colOff>3173</xdr:colOff>
      <xdr:row>176</xdr:row>
      <xdr:rowOff>47625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409576</xdr:colOff>
      <xdr:row>29</xdr:row>
      <xdr:rowOff>171449</xdr:rowOff>
    </xdr:from>
    <xdr:to>
      <xdr:col>29</xdr:col>
      <xdr:colOff>742951</xdr:colOff>
      <xdr:row>58</xdr:row>
      <xdr:rowOff>9524</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190499</xdr:colOff>
      <xdr:row>29</xdr:row>
      <xdr:rowOff>180975</xdr:rowOff>
    </xdr:from>
    <xdr:to>
      <xdr:col>16</xdr:col>
      <xdr:colOff>304800</xdr:colOff>
      <xdr:row>58</xdr:row>
      <xdr:rowOff>28575</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55563</xdr:colOff>
      <xdr:row>84</xdr:row>
      <xdr:rowOff>71438</xdr:rowOff>
    </xdr:from>
    <xdr:to>
      <xdr:col>10</xdr:col>
      <xdr:colOff>579438</xdr:colOff>
      <xdr:row>110</xdr:row>
      <xdr:rowOff>81870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627063</xdr:colOff>
      <xdr:row>84</xdr:row>
      <xdr:rowOff>71437</xdr:rowOff>
    </xdr:from>
    <xdr:to>
      <xdr:col>20</xdr:col>
      <xdr:colOff>11111</xdr:colOff>
      <xdr:row>176</xdr:row>
      <xdr:rowOff>47624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47624</xdr:colOff>
      <xdr:row>49</xdr:row>
      <xdr:rowOff>55562</xdr:rowOff>
    </xdr:from>
    <xdr:to>
      <xdr:col>10</xdr:col>
      <xdr:colOff>575468</xdr:colOff>
      <xdr:row>82</xdr:row>
      <xdr:rowOff>93663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619123</xdr:colOff>
      <xdr:row>49</xdr:row>
      <xdr:rowOff>63502</xdr:rowOff>
    </xdr:from>
    <xdr:to>
      <xdr:col>19</xdr:col>
      <xdr:colOff>567531</xdr:colOff>
      <xdr:row>82</xdr:row>
      <xdr:rowOff>93665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631827</xdr:colOff>
      <xdr:row>84</xdr:row>
      <xdr:rowOff>71437</xdr:rowOff>
    </xdr:from>
    <xdr:to>
      <xdr:col>20</xdr:col>
      <xdr:colOff>15875</xdr:colOff>
      <xdr:row>176</xdr:row>
      <xdr:rowOff>47624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55563</xdr:colOff>
      <xdr:row>84</xdr:row>
      <xdr:rowOff>71439</xdr:rowOff>
    </xdr:from>
    <xdr:to>
      <xdr:col>10</xdr:col>
      <xdr:colOff>579438</xdr:colOff>
      <xdr:row>110</xdr:row>
      <xdr:rowOff>81871</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47624</xdr:colOff>
      <xdr:row>49</xdr:row>
      <xdr:rowOff>63500</xdr:rowOff>
    </xdr:from>
    <xdr:to>
      <xdr:col>10</xdr:col>
      <xdr:colOff>575468</xdr:colOff>
      <xdr:row>82</xdr:row>
      <xdr:rowOff>101601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619123</xdr:colOff>
      <xdr:row>49</xdr:row>
      <xdr:rowOff>71440</xdr:rowOff>
    </xdr:from>
    <xdr:to>
      <xdr:col>19</xdr:col>
      <xdr:colOff>567531</xdr:colOff>
      <xdr:row>82</xdr:row>
      <xdr:rowOff>101603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55563</xdr:colOff>
      <xdr:row>84</xdr:row>
      <xdr:rowOff>79376</xdr:rowOff>
    </xdr:from>
    <xdr:to>
      <xdr:col>10</xdr:col>
      <xdr:colOff>579438</xdr:colOff>
      <xdr:row>110</xdr:row>
      <xdr:rowOff>89808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79375</xdr:rowOff>
    </xdr:from>
    <xdr:to>
      <xdr:col>20</xdr:col>
      <xdr:colOff>3173</xdr:colOff>
      <xdr:row>176</xdr:row>
      <xdr:rowOff>55562</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55562</xdr:colOff>
      <xdr:row>49</xdr:row>
      <xdr:rowOff>63500</xdr:rowOff>
    </xdr:from>
    <xdr:to>
      <xdr:col>10</xdr:col>
      <xdr:colOff>583406</xdr:colOff>
      <xdr:row>82</xdr:row>
      <xdr:rowOff>101601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627061</xdr:colOff>
      <xdr:row>49</xdr:row>
      <xdr:rowOff>71440</xdr:rowOff>
    </xdr:from>
    <xdr:to>
      <xdr:col>19</xdr:col>
      <xdr:colOff>575469</xdr:colOff>
      <xdr:row>82</xdr:row>
      <xdr:rowOff>101603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63500</xdr:colOff>
      <xdr:row>84</xdr:row>
      <xdr:rowOff>71438</xdr:rowOff>
    </xdr:from>
    <xdr:to>
      <xdr:col>10</xdr:col>
      <xdr:colOff>587375</xdr:colOff>
      <xdr:row>110</xdr:row>
      <xdr:rowOff>81870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642937</xdr:colOff>
      <xdr:row>84</xdr:row>
      <xdr:rowOff>79375</xdr:rowOff>
    </xdr:from>
    <xdr:to>
      <xdr:col>20</xdr:col>
      <xdr:colOff>26985</xdr:colOff>
      <xdr:row>176</xdr:row>
      <xdr:rowOff>55562</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47624</xdr:colOff>
      <xdr:row>49</xdr:row>
      <xdr:rowOff>55562</xdr:rowOff>
    </xdr:from>
    <xdr:to>
      <xdr:col>10</xdr:col>
      <xdr:colOff>575468</xdr:colOff>
      <xdr:row>82</xdr:row>
      <xdr:rowOff>93663</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619123</xdr:colOff>
      <xdr:row>49</xdr:row>
      <xdr:rowOff>63502</xdr:rowOff>
    </xdr:from>
    <xdr:to>
      <xdr:col>19</xdr:col>
      <xdr:colOff>567531</xdr:colOff>
      <xdr:row>82</xdr:row>
      <xdr:rowOff>93665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631827</xdr:colOff>
      <xdr:row>84</xdr:row>
      <xdr:rowOff>71437</xdr:rowOff>
    </xdr:from>
    <xdr:to>
      <xdr:col>20</xdr:col>
      <xdr:colOff>15875</xdr:colOff>
      <xdr:row>176</xdr:row>
      <xdr:rowOff>47624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55563</xdr:colOff>
      <xdr:row>84</xdr:row>
      <xdr:rowOff>71439</xdr:rowOff>
    </xdr:from>
    <xdr:to>
      <xdr:col>10</xdr:col>
      <xdr:colOff>579438</xdr:colOff>
      <xdr:row>110</xdr:row>
      <xdr:rowOff>81871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vestoren/aktuell/Deutsch/3-Jahres-Plan_connect_al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gene Schätzung"/>
      <sheetName val="Links zu Statistiken"/>
      <sheetName val="Ergebnis eigene Schätzung"/>
      <sheetName val="Kurzform Realistisch"/>
      <sheetName val="Realistisch"/>
      <sheetName val="Vergleich Wachstum Mitbewerber"/>
      <sheetName val="Vorsichtig"/>
      <sheetName val="Optimistisch"/>
      <sheetName val="Pessimistisch"/>
      <sheetName val="Worst Case"/>
      <sheetName val="Möglich"/>
    </sheetNames>
    <sheetDataSet>
      <sheetData sheetId="0" refreshError="1"/>
      <sheetData sheetId="1" refreshError="1"/>
      <sheetData sheetId="2" refreshError="1"/>
      <sheetData sheetId="3" refreshError="1"/>
      <sheetData sheetId="4">
        <row r="8">
          <cell r="J8">
            <v>54368.610829552868</v>
          </cell>
          <cell r="O8">
            <v>190369.08638215193</v>
          </cell>
          <cell r="T8">
            <v>1363629.6461570859</v>
          </cell>
          <cell r="U8">
            <v>2788039.4718378671</v>
          </cell>
          <cell r="V8">
            <v>5832666.327937373</v>
          </cell>
          <cell r="W8">
            <v>7995320.4278125549</v>
          </cell>
        </row>
        <row r="14">
          <cell r="J14">
            <v>4.4692085450117833</v>
          </cell>
          <cell r="O14">
            <v>4.2514387333466326</v>
          </cell>
          <cell r="T14">
            <v>2.2164008603190868</v>
          </cell>
          <cell r="U14">
            <v>0.73899944446209509</v>
          </cell>
          <cell r="V14">
            <v>0.58821758864113283</v>
          </cell>
          <cell r="W14">
            <v>0.43470336866094678</v>
          </cell>
        </row>
        <row r="15">
          <cell r="J15">
            <v>55.167806032543233</v>
          </cell>
          <cell r="O15">
            <v>3.6591750660109783</v>
          </cell>
          <cell r="T15">
            <v>1.1245383470160082</v>
          </cell>
          <cell r="U15">
            <v>0.2</v>
          </cell>
          <cell r="V15">
            <v>0.2</v>
          </cell>
          <cell r="W15">
            <v>0.2</v>
          </cell>
        </row>
        <row r="16">
          <cell r="O16">
            <v>3.7651414334841133</v>
          </cell>
          <cell r="T16">
            <v>6.6925617479475878</v>
          </cell>
          <cell r="U16">
            <v>1.9217133924917169</v>
          </cell>
          <cell r="V16">
            <v>1.3782808533306281</v>
          </cell>
          <cell r="W16">
            <v>0.80535169593839151</v>
          </cell>
        </row>
        <row r="17">
          <cell r="J17">
            <v>53507.231534220366</v>
          </cell>
          <cell r="O17">
            <v>207110.00659074698</v>
          </cell>
          <cell r="T17">
            <v>1754235.8013528257</v>
          </cell>
          <cell r="U17">
            <v>3874852.639955854</v>
          </cell>
          <cell r="V17">
            <v>8119735.9909960506</v>
          </cell>
          <cell r="W17">
            <v>11283735.635974439</v>
          </cell>
        </row>
        <row r="18">
          <cell r="J18">
            <v>55007.231534220366</v>
          </cell>
          <cell r="O18">
            <v>262117.23812496735</v>
          </cell>
          <cell r="T18">
            <v>2016353.039477793</v>
          </cell>
          <cell r="U18">
            <v>5891205.6794336475</v>
          </cell>
          <cell r="V18">
            <v>14010941.670429699</v>
          </cell>
          <cell r="W18">
            <v>25294677.306404136</v>
          </cell>
        </row>
        <row r="21">
          <cell r="J21">
            <v>68746.067597503061</v>
          </cell>
          <cell r="O21">
            <v>994481.01929965313</v>
          </cell>
          <cell r="T21">
            <v>9471631.6668594703</v>
          </cell>
          <cell r="U21">
            <v>12.84</v>
          </cell>
          <cell r="V21">
            <v>14.520000000000003</v>
          </cell>
          <cell r="W21">
            <v>16.200000000000003</v>
          </cell>
        </row>
        <row r="22">
          <cell r="J22">
            <v>46637.115600779056</v>
          </cell>
          <cell r="O22">
            <v>942743.10578661016</v>
          </cell>
          <cell r="T22">
            <v>9144233.8824557085</v>
          </cell>
          <cell r="U22">
            <v>12.48</v>
          </cell>
          <cell r="V22">
            <v>14.160000000000002</v>
          </cell>
          <cell r="W22">
            <v>15.84</v>
          </cell>
        </row>
        <row r="23">
          <cell r="J23">
            <v>0</v>
          </cell>
          <cell r="O23">
            <v>270150.2301170507</v>
          </cell>
          <cell r="T23">
            <v>4888062.6852067849</v>
          </cell>
          <cell r="U23">
            <v>7.8000000000000016</v>
          </cell>
          <cell r="V23">
            <v>9.48</v>
          </cell>
          <cell r="W23">
            <v>11.160000000000002</v>
          </cell>
        </row>
        <row r="24">
          <cell r="J24">
            <v>0</v>
          </cell>
          <cell r="O24">
            <v>353900.66799247434</v>
          </cell>
          <cell r="T24">
            <v>6780271.8742359355</v>
          </cell>
          <cell r="U24">
            <v>10.92</v>
          </cell>
          <cell r="V24">
            <v>13.32</v>
          </cell>
          <cell r="W24">
            <v>15.72</v>
          </cell>
        </row>
        <row r="25">
          <cell r="J25">
            <v>0</v>
          </cell>
          <cell r="O25">
            <v>84576.910535306321</v>
          </cell>
          <cell r="T25">
            <v>1443360.4506881905</v>
          </cell>
          <cell r="U25">
            <v>2.2800000000000002</v>
          </cell>
          <cell r="V25">
            <v>2.7600000000000002</v>
          </cell>
          <cell r="W25">
            <v>3.24</v>
          </cell>
        </row>
        <row r="26">
          <cell r="J26">
            <v>0</v>
          </cell>
          <cell r="O26">
            <v>84576.910535306321</v>
          </cell>
          <cell r="T26">
            <v>1443360.4506881905</v>
          </cell>
          <cell r="U26">
            <v>2.2800000000000002</v>
          </cell>
          <cell r="V26">
            <v>2.7600000000000002</v>
          </cell>
          <cell r="W26">
            <v>3.24</v>
          </cell>
        </row>
        <row r="27">
          <cell r="J27">
            <v>0</v>
          </cell>
          <cell r="O27">
            <v>0</v>
          </cell>
          <cell r="T27">
            <v>0</v>
          </cell>
          <cell r="U27">
            <v>0</v>
          </cell>
          <cell r="V27">
            <v>0</v>
          </cell>
          <cell r="W27">
            <v>0</v>
          </cell>
        </row>
        <row r="28">
          <cell r="J28">
            <v>0</v>
          </cell>
          <cell r="O28">
            <v>0</v>
          </cell>
          <cell r="T28">
            <v>0</v>
          </cell>
          <cell r="U28">
            <v>0</v>
          </cell>
          <cell r="V28">
            <v>0</v>
          </cell>
          <cell r="W28">
            <v>0</v>
          </cell>
        </row>
        <row r="30">
          <cell r="J30">
            <v>115383.18319828212</v>
          </cell>
          <cell r="O30">
            <v>2730428.8442664007</v>
          </cell>
          <cell r="T30">
            <v>33170921.01013428</v>
          </cell>
          <cell r="U30">
            <v>192153676.86954805</v>
          </cell>
          <cell r="V30">
            <v>567211199.47110546</v>
          </cell>
          <cell r="W30">
            <v>1285293740.5424666</v>
          </cell>
        </row>
        <row r="33">
          <cell r="J33">
            <v>10114.030528170013</v>
          </cell>
          <cell r="O33">
            <v>27407.394358393933</v>
          </cell>
          <cell r="T33">
            <v>190124.59366276927</v>
          </cell>
          <cell r="U33">
            <v>1895455.8642977912</v>
          </cell>
          <cell r="V33">
            <v>2916436.0233457815</v>
          </cell>
          <cell r="W33">
            <v>4972906.0082137277</v>
          </cell>
        </row>
        <row r="34">
          <cell r="J34">
            <v>252850.76320425031</v>
          </cell>
          <cell r="O34">
            <v>685184.85895984829</v>
          </cell>
          <cell r="T34">
            <v>4753114.8415692318</v>
          </cell>
          <cell r="U34">
            <v>47386396.607444778</v>
          </cell>
          <cell r="V34">
            <v>72910900.583644539</v>
          </cell>
          <cell r="W34">
            <v>124322650.2053432</v>
          </cell>
        </row>
        <row r="35">
          <cell r="J35">
            <v>2528.5076320425032</v>
          </cell>
          <cell r="O35">
            <v>6851.8485895984832</v>
          </cell>
          <cell r="T35">
            <v>47531.148415692318</v>
          </cell>
          <cell r="U35">
            <v>473863.96607444779</v>
          </cell>
          <cell r="V35">
            <v>729109.00583644537</v>
          </cell>
          <cell r="W35">
            <v>1243226.5020534319</v>
          </cell>
        </row>
        <row r="36">
          <cell r="J36">
            <v>33171.045792255012</v>
          </cell>
          <cell r="O36">
            <v>59111.091537590895</v>
          </cell>
          <cell r="T36">
            <v>303186.89049415395</v>
          </cell>
          <cell r="U36">
            <v>2844683.7964466866</v>
          </cell>
          <cell r="V36">
            <v>4376154.0350186722</v>
          </cell>
          <cell r="W36">
            <v>7460859.0123205921</v>
          </cell>
        </row>
        <row r="37">
          <cell r="J37">
            <v>19862.537951061728</v>
          </cell>
          <cell r="O37">
            <v>237371.00017809233</v>
          </cell>
          <cell r="T37">
            <v>1677220.9297240628</v>
          </cell>
          <cell r="U37">
            <v>11346462.138589205</v>
          </cell>
          <cell r="V37">
            <v>30515830.958195891</v>
          </cell>
          <cell r="W37">
            <v>61466065.854562059</v>
          </cell>
        </row>
        <row r="38">
          <cell r="J38">
            <v>24000</v>
          </cell>
          <cell r="O38">
            <v>84000</v>
          </cell>
          <cell r="T38">
            <v>84000</v>
          </cell>
          <cell r="U38">
            <v>84000</v>
          </cell>
          <cell r="V38">
            <v>84000</v>
          </cell>
          <cell r="W38">
            <v>84000</v>
          </cell>
        </row>
        <row r="39">
          <cell r="J39">
            <v>0</v>
          </cell>
          <cell r="O39">
            <v>67854.144167138729</v>
          </cell>
          <cell r="T39">
            <v>2423066.0547390427</v>
          </cell>
          <cell r="U39">
            <v>775079.80109381862</v>
          </cell>
          <cell r="V39">
            <v>0</v>
          </cell>
          <cell r="W39">
            <v>0</v>
          </cell>
        </row>
        <row r="40">
          <cell r="J40">
            <v>3598.7824769781118</v>
          </cell>
          <cell r="O40">
            <v>293493.1160217002</v>
          </cell>
          <cell r="T40">
            <v>3459649.3061615154</v>
          </cell>
          <cell r="U40">
            <v>41877340.776769213</v>
          </cell>
          <cell r="V40">
            <v>113442239.8942211</v>
          </cell>
          <cell r="W40">
            <v>257058748.10849333</v>
          </cell>
        </row>
        <row r="41">
          <cell r="J41">
            <v>0</v>
          </cell>
          <cell r="O41">
            <v>41374.478150694355</v>
          </cell>
          <cell r="T41">
            <v>1477479.301670148</v>
          </cell>
          <cell r="U41">
            <v>1764491.1482801144</v>
          </cell>
          <cell r="V41">
            <v>19256865.205696829</v>
          </cell>
          <cell r="W41">
            <v>77624002.913187847</v>
          </cell>
        </row>
        <row r="42">
          <cell r="J42">
            <v>30000</v>
          </cell>
          <cell r="O42">
            <v>36750</v>
          </cell>
          <cell r="T42">
            <v>70500</v>
          </cell>
          <cell r="U42">
            <v>7750</v>
          </cell>
          <cell r="V42">
            <v>8500</v>
          </cell>
          <cell r="W42">
            <v>9250</v>
          </cell>
        </row>
        <row r="43">
          <cell r="J43">
            <v>26706.425813415299</v>
          </cell>
          <cell r="O43">
            <v>43332.870299505143</v>
          </cell>
          <cell r="T43">
            <v>151170.93016817066</v>
          </cell>
          <cell r="U43">
            <v>730944.68153203768</v>
          </cell>
          <cell r="V43">
            <v>1705313.0004515641</v>
          </cell>
          <cell r="W43">
            <v>3059361.2767684963</v>
          </cell>
        </row>
        <row r="44">
          <cell r="J44">
            <v>126084.5191542783</v>
          </cell>
          <cell r="O44">
            <v>277612.43971983803</v>
          </cell>
          <cell r="T44">
            <v>697514.51460927643</v>
          </cell>
          <cell r="U44">
            <v>769836.66194325336</v>
          </cell>
          <cell r="V44">
            <v>769836.66194325336</v>
          </cell>
          <cell r="W44">
            <v>769836.66194325336</v>
          </cell>
        </row>
        <row r="46">
          <cell r="J46">
            <v>5398.1737154671673</v>
          </cell>
          <cell r="O46">
            <v>440239.67403255019</v>
          </cell>
          <cell r="T46">
            <v>5189473.9592422731</v>
          </cell>
          <cell r="U46">
            <v>5169908.1042893985</v>
          </cell>
          <cell r="V46">
            <v>10000000</v>
          </cell>
          <cell r="W46">
            <v>10000000</v>
          </cell>
        </row>
        <row r="47">
          <cell r="J47">
            <v>88000</v>
          </cell>
          <cell r="O47">
            <v>15000</v>
          </cell>
          <cell r="T47">
            <v>0</v>
          </cell>
          <cell r="U47">
            <v>0</v>
          </cell>
          <cell r="V47">
            <v>0</v>
          </cell>
          <cell r="W47">
            <v>0</v>
          </cell>
        </row>
        <row r="48">
          <cell r="J48">
            <v>622365.63626791839</v>
          </cell>
          <cell r="O48">
            <v>2315616.8160149506</v>
          </cell>
          <cell r="T48">
            <v>20524063.970456336</v>
          </cell>
          <cell r="U48">
            <v>115126216.04676074</v>
          </cell>
          <cell r="V48">
            <v>256715187.81835407</v>
          </cell>
          <cell r="W48">
            <v>548070908.94288588</v>
          </cell>
        </row>
        <row r="50">
          <cell r="J50">
            <v>-506982.45306963625</v>
          </cell>
          <cell r="O50">
            <v>414812.02825145004</v>
          </cell>
          <cell r="T50">
            <v>12646857.039677946</v>
          </cell>
          <cell r="U50">
            <v>77027460.822787315</v>
          </cell>
          <cell r="V50">
            <v>310496011.65275139</v>
          </cell>
          <cell r="W50">
            <v>737222831.59958076</v>
          </cell>
        </row>
      </sheetData>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sweetpricing.com/blog/2016/10/mobile-app-monetization-stats/" TargetMode="External"/><Relationship Id="rId7" Type="http://schemas.openxmlformats.org/officeDocument/2006/relationships/comments" Target="../comments1.xml"/><Relationship Id="rId2" Type="http://schemas.openxmlformats.org/officeDocument/2006/relationships/hyperlink" Target="https://www.appsflyer.com/pr/new-report-global-app-spending-habits-finds-asian-consumers-spend-40-apps-rest-world/" TargetMode="External"/><Relationship Id="rId1" Type="http://schemas.openxmlformats.org/officeDocument/2006/relationships/hyperlink" Target="https://www.invespcro.com/blog/in-app-purchase-revenu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de.statista.com/outlook/212/100/online-games/weltweit"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en.wikipedia.org/wiki/List_of_social_networking_websites"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B75"/>
  <sheetViews>
    <sheetView zoomScale="120" zoomScaleNormal="120" workbookViewId="0">
      <pane xSplit="2" topLeftCell="C1" activePane="topRight" state="frozen"/>
      <selection pane="topRight" activeCell="A103" sqref="A103"/>
    </sheetView>
  </sheetViews>
  <sheetFormatPr baseColWidth="10" defaultRowHeight="12.75" x14ac:dyDescent="0.2"/>
  <cols>
    <col min="1" max="1" width="9.7109375" customWidth="1"/>
    <col min="2" max="2" width="11" style="375" customWidth="1"/>
    <col min="3"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2:20" ht="13.5" thickBot="1" x14ac:dyDescent="0.25"/>
    <row r="2" spans="2:20" ht="5.25" customHeight="1" x14ac:dyDescent="0.2">
      <c r="B2" s="417"/>
      <c r="C2" s="418"/>
      <c r="D2" s="419"/>
      <c r="E2" s="419"/>
      <c r="F2" s="419"/>
      <c r="G2" s="419"/>
      <c r="H2" s="419"/>
      <c r="I2" s="419"/>
      <c r="J2" s="419"/>
      <c r="K2" s="419"/>
      <c r="L2" s="419"/>
      <c r="M2" s="419"/>
      <c r="N2" s="419"/>
      <c r="O2" s="419"/>
      <c r="P2" s="419"/>
      <c r="Q2" s="419"/>
      <c r="R2" s="419"/>
      <c r="S2" s="419"/>
      <c r="T2" s="420"/>
    </row>
    <row r="3" spans="2:20" ht="21" customHeight="1" x14ac:dyDescent="0.2">
      <c r="B3" s="421"/>
      <c r="C3" s="415" t="s">
        <v>69</v>
      </c>
      <c r="D3" s="416"/>
      <c r="E3" s="416"/>
      <c r="F3" s="416"/>
      <c r="G3" s="416"/>
      <c r="H3" s="416"/>
      <c r="I3" s="416"/>
      <c r="J3" s="416"/>
      <c r="K3" s="416"/>
      <c r="L3" s="416"/>
      <c r="M3" s="416"/>
      <c r="N3" s="416"/>
      <c r="O3" s="416"/>
      <c r="P3" s="416"/>
      <c r="Q3" s="416"/>
      <c r="R3" s="416"/>
      <c r="S3" s="416"/>
      <c r="T3" s="422"/>
    </row>
    <row r="4" spans="2:20" ht="5.25" customHeight="1" x14ac:dyDescent="0.2">
      <c r="B4" s="428"/>
      <c r="C4" s="429"/>
      <c r="D4" s="430"/>
      <c r="E4" s="430"/>
      <c r="F4" s="430"/>
      <c r="G4" s="430"/>
      <c r="H4" s="430"/>
      <c r="I4" s="430"/>
      <c r="J4" s="430"/>
      <c r="K4" s="430"/>
      <c r="L4" s="430"/>
      <c r="M4" s="430"/>
      <c r="N4" s="430"/>
      <c r="O4" s="430"/>
      <c r="P4" s="430"/>
      <c r="Q4" s="430"/>
      <c r="R4" s="430"/>
      <c r="S4" s="430"/>
      <c r="T4" s="431"/>
    </row>
    <row r="5" spans="2:20" ht="17.25" customHeight="1" x14ac:dyDescent="0.2">
      <c r="B5" s="423"/>
      <c r="C5" s="514" t="s">
        <v>70</v>
      </c>
      <c r="D5" s="405"/>
      <c r="E5" s="405"/>
      <c r="F5" s="405"/>
      <c r="G5" s="405"/>
      <c r="H5" s="405"/>
      <c r="I5" s="405"/>
      <c r="J5" s="405"/>
      <c r="K5" s="405"/>
      <c r="L5" s="405"/>
      <c r="M5" s="405"/>
      <c r="N5" s="405"/>
      <c r="O5" s="405"/>
      <c r="P5" s="405"/>
      <c r="Q5" s="405"/>
      <c r="R5" s="405"/>
      <c r="S5" s="405"/>
      <c r="T5" s="424"/>
    </row>
    <row r="6" spans="2:20" ht="17.25" customHeight="1" x14ac:dyDescent="0.2">
      <c r="B6" s="423"/>
      <c r="C6" s="405" t="s">
        <v>71</v>
      </c>
      <c r="D6" s="405"/>
      <c r="E6" s="405"/>
      <c r="F6" s="405"/>
      <c r="G6" s="405"/>
      <c r="H6" s="405"/>
      <c r="I6" s="405"/>
      <c r="J6" s="405"/>
      <c r="K6" s="405"/>
      <c r="L6" s="405"/>
      <c r="M6" s="405"/>
      <c r="N6" s="405"/>
      <c r="O6" s="405"/>
      <c r="P6" s="405"/>
      <c r="Q6" s="405"/>
      <c r="R6" s="405"/>
      <c r="S6" s="405"/>
      <c r="T6" s="424"/>
    </row>
    <row r="7" spans="2:20" ht="17.25" customHeight="1" x14ac:dyDescent="0.2">
      <c r="B7" s="423"/>
      <c r="C7" s="521" t="s">
        <v>241</v>
      </c>
      <c r="D7" s="405"/>
      <c r="E7" s="405"/>
      <c r="F7" s="405"/>
      <c r="G7" s="405"/>
      <c r="H7" s="405"/>
      <c r="I7" s="405"/>
      <c r="J7" s="405"/>
      <c r="K7" s="405"/>
      <c r="L7" s="405"/>
      <c r="M7" s="405"/>
      <c r="N7" s="405"/>
      <c r="O7" s="405"/>
      <c r="P7" s="405"/>
      <c r="Q7" s="405"/>
      <c r="R7" s="405"/>
      <c r="S7" s="405"/>
      <c r="T7" s="424"/>
    </row>
    <row r="8" spans="2:20" ht="17.25" customHeight="1" x14ac:dyDescent="0.2">
      <c r="B8" s="423"/>
      <c r="C8" s="405" t="s">
        <v>72</v>
      </c>
      <c r="D8" s="405"/>
      <c r="E8" s="405"/>
      <c r="F8" s="405"/>
      <c r="G8" s="405"/>
      <c r="H8" s="405"/>
      <c r="I8" s="405"/>
      <c r="J8" s="405"/>
      <c r="K8" s="405"/>
      <c r="L8" s="405"/>
      <c r="M8" s="405"/>
      <c r="N8" s="405"/>
      <c r="O8" s="405"/>
      <c r="P8" s="405"/>
      <c r="Q8" s="405"/>
      <c r="R8" s="405"/>
      <c r="S8" s="405"/>
      <c r="T8" s="424"/>
    </row>
    <row r="9" spans="2:20" ht="17.25" customHeight="1" thickBot="1" x14ac:dyDescent="0.25">
      <c r="B9" s="425"/>
      <c r="C9" s="426" t="s">
        <v>73</v>
      </c>
      <c r="D9" s="426"/>
      <c r="E9" s="426"/>
      <c r="F9" s="426"/>
      <c r="G9" s="426"/>
      <c r="H9" s="426"/>
      <c r="I9" s="426"/>
      <c r="J9" s="426"/>
      <c r="K9" s="426"/>
      <c r="L9" s="426"/>
      <c r="M9" s="426"/>
      <c r="N9" s="426"/>
      <c r="O9" s="426"/>
      <c r="P9" s="426"/>
      <c r="Q9" s="426"/>
      <c r="R9" s="426"/>
      <c r="S9" s="426"/>
      <c r="T9" s="427"/>
    </row>
    <row r="11" spans="2:20" x14ac:dyDescent="0.2">
      <c r="B11" s="375" t="s">
        <v>78</v>
      </c>
      <c r="C11" s="377"/>
    </row>
    <row r="12" spans="2:20" x14ac:dyDescent="0.2">
      <c r="B12" s="375" t="s">
        <v>79</v>
      </c>
    </row>
    <row r="13" spans="2:20" x14ac:dyDescent="0.2">
      <c r="B13" s="393">
        <v>0</v>
      </c>
      <c r="C13" s="410" t="s">
        <v>74</v>
      </c>
      <c r="D13" s="411"/>
      <c r="E13" s="411"/>
      <c r="F13" s="411"/>
      <c r="G13" s="411"/>
      <c r="H13" s="411"/>
      <c r="I13" s="411"/>
      <c r="J13" s="411"/>
      <c r="K13" s="411"/>
      <c r="L13" s="411"/>
      <c r="M13" s="411"/>
      <c r="N13" s="411"/>
      <c r="O13" s="411"/>
      <c r="P13" s="411"/>
      <c r="Q13" s="411"/>
      <c r="R13" s="411"/>
      <c r="S13" s="411"/>
      <c r="T13" s="412"/>
    </row>
    <row r="14" spans="2:20" x14ac:dyDescent="0.2">
      <c r="B14" s="394"/>
      <c r="C14" s="404" t="s">
        <v>75</v>
      </c>
      <c r="D14" s="405"/>
      <c r="E14" s="405"/>
      <c r="F14" s="405"/>
      <c r="G14" s="405"/>
      <c r="H14" s="405"/>
      <c r="I14" s="405"/>
      <c r="J14" s="405"/>
      <c r="K14" s="405"/>
      <c r="L14" s="405"/>
      <c r="M14" s="405"/>
      <c r="N14" s="405"/>
      <c r="O14" s="405"/>
      <c r="P14" s="405"/>
      <c r="Q14" s="405"/>
      <c r="R14" s="405"/>
      <c r="S14" s="405"/>
      <c r="T14" s="406"/>
    </row>
    <row r="15" spans="2:20" x14ac:dyDescent="0.2">
      <c r="B15" s="395" t="s">
        <v>60</v>
      </c>
      <c r="C15" s="404" t="s">
        <v>76</v>
      </c>
      <c r="D15" s="405"/>
      <c r="E15" s="405"/>
      <c r="F15" s="405"/>
      <c r="G15" s="405"/>
      <c r="H15" s="405"/>
      <c r="I15" s="405"/>
      <c r="J15" s="405"/>
      <c r="K15" s="405"/>
      <c r="L15" s="405"/>
      <c r="M15" s="405"/>
      <c r="N15" s="405"/>
      <c r="O15" s="405"/>
      <c r="P15" s="405"/>
      <c r="Q15" s="405"/>
      <c r="R15" s="405"/>
      <c r="S15" s="405"/>
      <c r="T15" s="406"/>
    </row>
    <row r="16" spans="2:20" x14ac:dyDescent="0.2">
      <c r="B16" s="396" t="s">
        <v>61</v>
      </c>
      <c r="C16" s="407" t="s">
        <v>77</v>
      </c>
      <c r="D16" s="408"/>
      <c r="E16" s="408"/>
      <c r="F16" s="408"/>
      <c r="G16" s="408"/>
      <c r="H16" s="408"/>
      <c r="I16" s="408"/>
      <c r="J16" s="408"/>
      <c r="K16" s="408"/>
      <c r="L16" s="408"/>
      <c r="M16" s="408"/>
      <c r="N16" s="408"/>
      <c r="O16" s="408"/>
      <c r="P16" s="408"/>
      <c r="Q16" s="408"/>
      <c r="R16" s="408"/>
      <c r="S16" s="408"/>
      <c r="T16" s="409"/>
    </row>
    <row r="17" spans="2:20" x14ac:dyDescent="0.2">
      <c r="B17" s="376"/>
    </row>
    <row r="18" spans="2:20" x14ac:dyDescent="0.2">
      <c r="B18" s="400">
        <v>0</v>
      </c>
      <c r="C18" s="410" t="s">
        <v>80</v>
      </c>
      <c r="D18" s="411"/>
      <c r="E18" s="411"/>
      <c r="F18" s="411"/>
      <c r="G18" s="411"/>
      <c r="H18" s="411"/>
      <c r="I18" s="411"/>
      <c r="J18" s="411"/>
      <c r="K18" s="411"/>
      <c r="L18" s="411"/>
      <c r="M18" s="411"/>
      <c r="N18" s="411"/>
      <c r="O18" s="411"/>
      <c r="P18" s="411"/>
      <c r="Q18" s="411"/>
      <c r="R18" s="411"/>
      <c r="S18" s="411"/>
      <c r="T18" s="412"/>
    </row>
    <row r="19" spans="2:20" x14ac:dyDescent="0.2">
      <c r="B19" s="394"/>
      <c r="C19" s="404" t="s">
        <v>81</v>
      </c>
      <c r="D19" s="405"/>
      <c r="E19" s="405"/>
      <c r="F19" s="405"/>
      <c r="G19" s="405"/>
      <c r="H19" s="405"/>
      <c r="I19" s="405"/>
      <c r="J19" s="405"/>
      <c r="K19" s="405"/>
      <c r="L19" s="405"/>
      <c r="M19" s="405"/>
      <c r="N19" s="405"/>
      <c r="O19" s="405"/>
      <c r="P19" s="405"/>
      <c r="Q19" s="405"/>
      <c r="R19" s="405"/>
      <c r="S19" s="405"/>
      <c r="T19" s="406"/>
    </row>
    <row r="20" spans="2:20" x14ac:dyDescent="0.2">
      <c r="B20" s="395" t="s">
        <v>63</v>
      </c>
      <c r="C20" s="404" t="s">
        <v>82</v>
      </c>
      <c r="D20" s="405"/>
      <c r="E20" s="405"/>
      <c r="F20" s="405"/>
      <c r="G20" s="405"/>
      <c r="H20" s="405"/>
      <c r="I20" s="405"/>
      <c r="J20" s="405"/>
      <c r="K20" s="405"/>
      <c r="L20" s="405"/>
      <c r="M20" s="405"/>
      <c r="N20" s="405"/>
      <c r="O20" s="405"/>
      <c r="P20" s="405"/>
      <c r="Q20" s="405"/>
      <c r="R20" s="405"/>
      <c r="S20" s="405"/>
      <c r="T20" s="406"/>
    </row>
    <row r="21" spans="2:20" x14ac:dyDescent="0.2">
      <c r="B21" s="396" t="s">
        <v>64</v>
      </c>
      <c r="C21" s="407" t="s">
        <v>83</v>
      </c>
      <c r="D21" s="408"/>
      <c r="E21" s="408"/>
      <c r="F21" s="408"/>
      <c r="G21" s="408"/>
      <c r="H21" s="408"/>
      <c r="I21" s="408"/>
      <c r="J21" s="408"/>
      <c r="K21" s="408"/>
      <c r="L21" s="408"/>
      <c r="M21" s="408"/>
      <c r="N21" s="408"/>
      <c r="O21" s="408"/>
      <c r="P21" s="408"/>
      <c r="Q21" s="408"/>
      <c r="R21" s="408"/>
      <c r="S21" s="408"/>
      <c r="T21" s="409"/>
    </row>
    <row r="22" spans="2:20" x14ac:dyDescent="0.2">
      <c r="B22" s="376"/>
    </row>
    <row r="23" spans="2:20" x14ac:dyDescent="0.2">
      <c r="B23" s="397">
        <v>0</v>
      </c>
      <c r="C23" s="410" t="s">
        <v>84</v>
      </c>
      <c r="D23" s="411"/>
      <c r="E23" s="411"/>
      <c r="F23" s="411"/>
      <c r="G23" s="411"/>
      <c r="H23" s="411"/>
      <c r="I23" s="411"/>
      <c r="J23" s="411"/>
      <c r="K23" s="411"/>
      <c r="L23" s="411"/>
      <c r="M23" s="411"/>
      <c r="N23" s="411"/>
      <c r="O23" s="411"/>
      <c r="P23" s="411"/>
      <c r="Q23" s="411"/>
      <c r="R23" s="411"/>
      <c r="S23" s="411"/>
      <c r="T23" s="412"/>
    </row>
    <row r="24" spans="2:20" x14ac:dyDescent="0.2">
      <c r="B24" s="394"/>
      <c r="C24" s="404" t="s">
        <v>85</v>
      </c>
      <c r="D24" s="405"/>
      <c r="E24" s="405"/>
      <c r="F24" s="405"/>
      <c r="G24" s="405"/>
      <c r="H24" s="405"/>
      <c r="I24" s="405"/>
      <c r="J24" s="405"/>
      <c r="K24" s="405"/>
      <c r="L24" s="405"/>
      <c r="M24" s="405"/>
      <c r="N24" s="405"/>
      <c r="O24" s="405"/>
      <c r="P24" s="405"/>
      <c r="Q24" s="405"/>
      <c r="R24" s="405"/>
      <c r="S24" s="405"/>
      <c r="T24" s="406"/>
    </row>
    <row r="25" spans="2:20" x14ac:dyDescent="0.2">
      <c r="B25" s="395" t="s">
        <v>62</v>
      </c>
      <c r="C25" s="404" t="s">
        <v>86</v>
      </c>
      <c r="D25" s="405"/>
      <c r="E25" s="405"/>
      <c r="F25" s="405"/>
      <c r="G25" s="405"/>
      <c r="H25" s="405"/>
      <c r="I25" s="405"/>
      <c r="J25" s="405"/>
      <c r="K25" s="405"/>
      <c r="L25" s="405"/>
      <c r="M25" s="405"/>
      <c r="N25" s="405"/>
      <c r="O25" s="405"/>
      <c r="P25" s="405"/>
      <c r="Q25" s="405"/>
      <c r="R25" s="405"/>
      <c r="S25" s="405"/>
      <c r="T25" s="406"/>
    </row>
    <row r="26" spans="2:20" x14ac:dyDescent="0.2">
      <c r="B26" s="398"/>
      <c r="C26" s="407" t="s">
        <v>87</v>
      </c>
      <c r="D26" s="408"/>
      <c r="E26" s="408"/>
      <c r="F26" s="408"/>
      <c r="G26" s="408"/>
      <c r="H26" s="408"/>
      <c r="I26" s="408"/>
      <c r="J26" s="408"/>
      <c r="K26" s="408"/>
      <c r="L26" s="408"/>
      <c r="M26" s="408"/>
      <c r="N26" s="408"/>
      <c r="O26" s="408"/>
      <c r="P26" s="408"/>
      <c r="Q26" s="408"/>
      <c r="R26" s="408"/>
      <c r="S26" s="408"/>
      <c r="T26" s="409"/>
    </row>
    <row r="27" spans="2:20" x14ac:dyDescent="0.2">
      <c r="B27" s="376"/>
    </row>
    <row r="28" spans="2:20" x14ac:dyDescent="0.2">
      <c r="B28" s="414">
        <v>0</v>
      </c>
      <c r="C28" s="410" t="s">
        <v>88</v>
      </c>
      <c r="D28" s="411"/>
      <c r="E28" s="411"/>
      <c r="F28" s="411"/>
      <c r="G28" s="411"/>
      <c r="H28" s="411"/>
      <c r="I28" s="411"/>
      <c r="J28" s="411"/>
      <c r="K28" s="411"/>
      <c r="L28" s="411"/>
      <c r="M28" s="411"/>
      <c r="N28" s="411"/>
      <c r="O28" s="411"/>
      <c r="P28" s="411"/>
      <c r="Q28" s="411"/>
      <c r="R28" s="411"/>
      <c r="S28" s="411"/>
      <c r="T28" s="412"/>
    </row>
    <row r="29" spans="2:20" x14ac:dyDescent="0.2">
      <c r="B29" s="394"/>
      <c r="C29" s="404" t="s">
        <v>89</v>
      </c>
      <c r="D29" s="405"/>
      <c r="E29" s="405"/>
      <c r="F29" s="405"/>
      <c r="G29" s="405"/>
      <c r="H29" s="405"/>
      <c r="I29" s="405"/>
      <c r="J29" s="405"/>
      <c r="K29" s="405"/>
      <c r="L29" s="405"/>
      <c r="M29" s="405"/>
      <c r="N29" s="405"/>
      <c r="O29" s="405"/>
      <c r="P29" s="405"/>
      <c r="Q29" s="405"/>
      <c r="R29" s="405"/>
      <c r="S29" s="405"/>
      <c r="T29" s="406"/>
    </row>
    <row r="30" spans="2:20" x14ac:dyDescent="0.2">
      <c r="B30" s="395" t="s">
        <v>66</v>
      </c>
      <c r="C30" s="404" t="s">
        <v>90</v>
      </c>
      <c r="D30" s="405"/>
      <c r="E30" s="405"/>
      <c r="F30" s="405"/>
      <c r="G30" s="405"/>
      <c r="H30" s="405"/>
      <c r="I30" s="405"/>
      <c r="J30" s="405"/>
      <c r="K30" s="405"/>
      <c r="L30" s="405"/>
      <c r="M30" s="405"/>
      <c r="N30" s="405"/>
      <c r="O30" s="405"/>
      <c r="P30" s="405"/>
      <c r="Q30" s="405"/>
      <c r="R30" s="405"/>
      <c r="S30" s="405"/>
      <c r="T30" s="406"/>
    </row>
    <row r="31" spans="2:20" x14ac:dyDescent="0.2">
      <c r="B31" s="399" t="s">
        <v>61</v>
      </c>
      <c r="C31" s="407" t="s">
        <v>91</v>
      </c>
      <c r="D31" s="408"/>
      <c r="E31" s="408"/>
      <c r="F31" s="408"/>
      <c r="G31" s="408"/>
      <c r="H31" s="408"/>
      <c r="I31" s="408"/>
      <c r="J31" s="408"/>
      <c r="K31" s="408"/>
      <c r="L31" s="408"/>
      <c r="M31" s="408"/>
      <c r="N31" s="408"/>
      <c r="O31" s="408"/>
      <c r="P31" s="408"/>
      <c r="Q31" s="408"/>
      <c r="R31" s="408"/>
      <c r="S31" s="408"/>
      <c r="T31" s="409"/>
    </row>
    <row r="32" spans="2:20" x14ac:dyDescent="0.2">
      <c r="B32" s="376"/>
    </row>
    <row r="33" spans="2:20" x14ac:dyDescent="0.2">
      <c r="B33" s="397">
        <v>0</v>
      </c>
      <c r="C33" s="410" t="s">
        <v>92</v>
      </c>
      <c r="D33" s="411"/>
      <c r="E33" s="411"/>
      <c r="F33" s="411"/>
      <c r="G33" s="411"/>
      <c r="H33" s="411"/>
      <c r="I33" s="411"/>
      <c r="J33" s="411"/>
      <c r="K33" s="411"/>
      <c r="L33" s="411"/>
      <c r="M33" s="411"/>
      <c r="N33" s="411"/>
      <c r="O33" s="411"/>
      <c r="P33" s="411"/>
      <c r="Q33" s="411"/>
      <c r="R33" s="411"/>
      <c r="S33" s="411"/>
      <c r="T33" s="412"/>
    </row>
    <row r="34" spans="2:20" x14ac:dyDescent="0.2">
      <c r="B34" s="394"/>
      <c r="C34" s="404" t="s">
        <v>93</v>
      </c>
      <c r="D34" s="405"/>
      <c r="E34" s="405"/>
      <c r="F34" s="405"/>
      <c r="G34" s="405"/>
      <c r="H34" s="405"/>
      <c r="I34" s="405"/>
      <c r="J34" s="405"/>
      <c r="K34" s="405"/>
      <c r="L34" s="405"/>
      <c r="M34" s="405"/>
      <c r="N34" s="405"/>
      <c r="O34" s="405"/>
      <c r="P34" s="405"/>
      <c r="Q34" s="405"/>
      <c r="R34" s="405"/>
      <c r="S34" s="405"/>
      <c r="T34" s="406"/>
    </row>
    <row r="35" spans="2:20" x14ac:dyDescent="0.2">
      <c r="B35" s="395" t="s">
        <v>62</v>
      </c>
      <c r="C35" s="404" t="s">
        <v>95</v>
      </c>
      <c r="D35" s="405"/>
      <c r="E35" s="405"/>
      <c r="F35" s="405"/>
      <c r="G35" s="405"/>
      <c r="H35" s="405"/>
      <c r="I35" s="405"/>
      <c r="J35" s="405"/>
      <c r="K35" s="405"/>
      <c r="L35" s="405"/>
      <c r="M35" s="405"/>
      <c r="N35" s="405"/>
      <c r="O35" s="405"/>
      <c r="P35" s="405"/>
      <c r="Q35" s="405"/>
      <c r="R35" s="405"/>
      <c r="S35" s="405"/>
      <c r="T35" s="406"/>
    </row>
    <row r="36" spans="2:20" x14ac:dyDescent="0.2">
      <c r="B36" s="398"/>
      <c r="C36" s="407" t="s">
        <v>94</v>
      </c>
      <c r="D36" s="408"/>
      <c r="E36" s="408"/>
      <c r="F36" s="408"/>
      <c r="G36" s="408"/>
      <c r="H36" s="408"/>
      <c r="I36" s="408"/>
      <c r="J36" s="408"/>
      <c r="K36" s="408"/>
      <c r="L36" s="408"/>
      <c r="M36" s="408"/>
      <c r="N36" s="408"/>
      <c r="O36" s="408"/>
      <c r="P36" s="408"/>
      <c r="Q36" s="408"/>
      <c r="R36" s="408"/>
      <c r="S36" s="408"/>
      <c r="T36" s="409"/>
    </row>
    <row r="37" spans="2:20" x14ac:dyDescent="0.2">
      <c r="B37" s="376"/>
    </row>
    <row r="38" spans="2:20" x14ac:dyDescent="0.2">
      <c r="B38" s="397">
        <v>0</v>
      </c>
      <c r="C38" s="410" t="s">
        <v>96</v>
      </c>
      <c r="D38" s="411"/>
      <c r="E38" s="411"/>
      <c r="F38" s="411"/>
      <c r="G38" s="411"/>
      <c r="H38" s="411"/>
      <c r="I38" s="411"/>
      <c r="J38" s="411"/>
      <c r="K38" s="411"/>
      <c r="L38" s="411"/>
      <c r="M38" s="411"/>
      <c r="N38" s="411"/>
      <c r="O38" s="411"/>
      <c r="P38" s="411"/>
      <c r="Q38" s="411"/>
      <c r="R38" s="411"/>
      <c r="S38" s="411"/>
      <c r="T38" s="412"/>
    </row>
    <row r="39" spans="2:20" x14ac:dyDescent="0.2">
      <c r="B39" s="394"/>
      <c r="C39" s="404" t="s">
        <v>97</v>
      </c>
      <c r="D39" s="405"/>
      <c r="E39" s="405"/>
      <c r="F39" s="405"/>
      <c r="G39" s="405"/>
      <c r="H39" s="405"/>
      <c r="I39" s="405"/>
      <c r="J39" s="405"/>
      <c r="K39" s="405"/>
      <c r="L39" s="405"/>
      <c r="M39" s="405"/>
      <c r="N39" s="405"/>
      <c r="O39" s="405"/>
      <c r="P39" s="405"/>
      <c r="Q39" s="405"/>
      <c r="R39" s="405"/>
      <c r="S39" s="405"/>
      <c r="T39" s="406"/>
    </row>
    <row r="40" spans="2:20" x14ac:dyDescent="0.2">
      <c r="B40" s="395" t="s">
        <v>62</v>
      </c>
      <c r="C40" s="404" t="s">
        <v>98</v>
      </c>
      <c r="D40" s="405"/>
      <c r="E40" s="405"/>
      <c r="F40" s="405"/>
      <c r="G40" s="405"/>
      <c r="H40" s="405"/>
      <c r="I40" s="405"/>
      <c r="J40" s="405"/>
      <c r="K40" s="405"/>
      <c r="L40" s="405"/>
      <c r="M40" s="405"/>
      <c r="N40" s="405"/>
      <c r="O40" s="405"/>
      <c r="P40" s="405"/>
      <c r="Q40" s="405"/>
      <c r="R40" s="405"/>
      <c r="S40" s="405"/>
      <c r="T40" s="406"/>
    </row>
    <row r="41" spans="2:20" x14ac:dyDescent="0.2">
      <c r="B41" s="398"/>
      <c r="C41" s="407" t="s">
        <v>99</v>
      </c>
      <c r="D41" s="408"/>
      <c r="E41" s="408"/>
      <c r="F41" s="408"/>
      <c r="G41" s="408"/>
      <c r="H41" s="408"/>
      <c r="I41" s="408"/>
      <c r="J41" s="408"/>
      <c r="K41" s="408"/>
      <c r="L41" s="408"/>
      <c r="M41" s="408"/>
      <c r="N41" s="408"/>
      <c r="O41" s="408"/>
      <c r="P41" s="408"/>
      <c r="Q41" s="408"/>
      <c r="R41" s="408"/>
      <c r="S41" s="408"/>
      <c r="T41" s="409"/>
    </row>
    <row r="42" spans="2:20" x14ac:dyDescent="0.2">
      <c r="B42" s="376"/>
    </row>
    <row r="43" spans="2:20" x14ac:dyDescent="0.2">
      <c r="B43" s="397">
        <v>0</v>
      </c>
      <c r="C43" s="410" t="s">
        <v>100</v>
      </c>
      <c r="D43" s="411"/>
      <c r="E43" s="411"/>
      <c r="F43" s="411"/>
      <c r="G43" s="411"/>
      <c r="H43" s="411"/>
      <c r="I43" s="411"/>
      <c r="J43" s="411"/>
      <c r="K43" s="411"/>
      <c r="L43" s="411"/>
      <c r="M43" s="411"/>
      <c r="N43" s="411"/>
      <c r="O43" s="411"/>
      <c r="P43" s="411"/>
      <c r="Q43" s="411"/>
      <c r="R43" s="411"/>
      <c r="S43" s="411"/>
      <c r="T43" s="412"/>
    </row>
    <row r="44" spans="2:20" x14ac:dyDescent="0.2">
      <c r="B44" s="394"/>
      <c r="C44" s="404" t="s">
        <v>101</v>
      </c>
      <c r="D44" s="405"/>
      <c r="E44" s="405"/>
      <c r="F44" s="405"/>
      <c r="G44" s="405"/>
      <c r="H44" s="405"/>
      <c r="I44" s="405"/>
      <c r="J44" s="405"/>
      <c r="K44" s="405"/>
      <c r="L44" s="405"/>
      <c r="M44" s="405"/>
      <c r="N44" s="405"/>
      <c r="O44" s="405"/>
      <c r="P44" s="405"/>
      <c r="Q44" s="405"/>
      <c r="R44" s="405"/>
      <c r="S44" s="405"/>
      <c r="T44" s="406"/>
    </row>
    <row r="45" spans="2:20" x14ac:dyDescent="0.2">
      <c r="B45" s="395" t="s">
        <v>62</v>
      </c>
      <c r="C45" s="404" t="s">
        <v>102</v>
      </c>
      <c r="D45" s="405"/>
      <c r="E45" s="405"/>
      <c r="F45" s="405"/>
      <c r="G45" s="405"/>
      <c r="H45" s="405"/>
      <c r="I45" s="405"/>
      <c r="J45" s="405"/>
      <c r="K45" s="405"/>
      <c r="L45" s="405"/>
      <c r="M45" s="405"/>
      <c r="N45" s="405"/>
      <c r="O45" s="405"/>
      <c r="P45" s="405"/>
      <c r="Q45" s="405"/>
      <c r="R45" s="405"/>
      <c r="S45" s="405"/>
      <c r="T45" s="406"/>
    </row>
    <row r="46" spans="2:20" x14ac:dyDescent="0.2">
      <c r="B46" s="398"/>
      <c r="C46" s="407" t="s">
        <v>103</v>
      </c>
      <c r="D46" s="408"/>
      <c r="E46" s="408"/>
      <c r="F46" s="408"/>
      <c r="G46" s="408"/>
      <c r="H46" s="408"/>
      <c r="I46" s="408"/>
      <c r="J46" s="408"/>
      <c r="K46" s="408"/>
      <c r="L46" s="408"/>
      <c r="M46" s="408"/>
      <c r="N46" s="408"/>
      <c r="O46" s="408"/>
      <c r="P46" s="408"/>
      <c r="Q46" s="408"/>
      <c r="R46" s="408"/>
      <c r="S46" s="408"/>
      <c r="T46" s="409"/>
    </row>
    <row r="47" spans="2:20" x14ac:dyDescent="0.2">
      <c r="B47" s="376"/>
    </row>
    <row r="48" spans="2:20" x14ac:dyDescent="0.2">
      <c r="B48" s="393">
        <v>0</v>
      </c>
      <c r="C48" s="410" t="s">
        <v>104</v>
      </c>
      <c r="D48" s="411"/>
      <c r="E48" s="411"/>
      <c r="F48" s="411"/>
      <c r="G48" s="411"/>
      <c r="H48" s="411"/>
      <c r="I48" s="411"/>
      <c r="J48" s="411"/>
      <c r="K48" s="411"/>
      <c r="L48" s="411"/>
      <c r="M48" s="411"/>
      <c r="N48" s="411"/>
      <c r="O48" s="411"/>
      <c r="P48" s="411"/>
      <c r="Q48" s="411"/>
      <c r="R48" s="411"/>
      <c r="S48" s="411"/>
      <c r="T48" s="412"/>
    </row>
    <row r="49" spans="2:20" x14ac:dyDescent="0.2">
      <c r="B49" s="394"/>
      <c r="C49" s="404" t="s">
        <v>105</v>
      </c>
      <c r="D49" s="405"/>
      <c r="E49" s="405"/>
      <c r="F49" s="405"/>
      <c r="G49" s="405"/>
      <c r="H49" s="405"/>
      <c r="I49" s="405"/>
      <c r="J49" s="405"/>
      <c r="K49" s="405"/>
      <c r="L49" s="405"/>
      <c r="M49" s="405"/>
      <c r="N49" s="405"/>
      <c r="O49" s="405"/>
      <c r="P49" s="405"/>
      <c r="Q49" s="405"/>
      <c r="R49" s="405"/>
      <c r="S49" s="405"/>
      <c r="T49" s="406"/>
    </row>
    <row r="50" spans="2:20" x14ac:dyDescent="0.2">
      <c r="B50" s="395" t="s">
        <v>63</v>
      </c>
      <c r="C50" s="404" t="s">
        <v>106</v>
      </c>
      <c r="D50" s="405"/>
      <c r="E50" s="405"/>
      <c r="F50" s="405"/>
      <c r="G50" s="405"/>
      <c r="H50" s="405"/>
      <c r="I50" s="405"/>
      <c r="J50" s="405"/>
      <c r="K50" s="405"/>
      <c r="L50" s="405"/>
      <c r="M50" s="405"/>
      <c r="N50" s="405"/>
      <c r="O50" s="405"/>
      <c r="P50" s="405"/>
      <c r="Q50" s="405"/>
      <c r="R50" s="405"/>
      <c r="S50" s="405"/>
      <c r="T50" s="406"/>
    </row>
    <row r="51" spans="2:20" x14ac:dyDescent="0.2">
      <c r="B51" s="399" t="s">
        <v>61</v>
      </c>
      <c r="C51" s="407" t="s">
        <v>107</v>
      </c>
      <c r="D51" s="408"/>
      <c r="E51" s="408"/>
      <c r="F51" s="408"/>
      <c r="G51" s="408"/>
      <c r="H51" s="408"/>
      <c r="I51" s="408"/>
      <c r="J51" s="408"/>
      <c r="K51" s="408"/>
      <c r="L51" s="408"/>
      <c r="M51" s="408"/>
      <c r="N51" s="408"/>
      <c r="O51" s="408"/>
      <c r="P51" s="408"/>
      <c r="Q51" s="408"/>
      <c r="R51" s="408"/>
      <c r="S51" s="408"/>
      <c r="T51" s="409"/>
    </row>
    <row r="52" spans="2:20" x14ac:dyDescent="0.2">
      <c r="B52" s="376"/>
    </row>
    <row r="53" spans="2:20" x14ac:dyDescent="0.2">
      <c r="B53" s="393">
        <v>0</v>
      </c>
      <c r="C53" s="410" t="s">
        <v>108</v>
      </c>
      <c r="D53" s="411"/>
      <c r="E53" s="411"/>
      <c r="F53" s="411"/>
      <c r="G53" s="411"/>
      <c r="H53" s="411"/>
      <c r="I53" s="411"/>
      <c r="J53" s="411"/>
      <c r="K53" s="411"/>
      <c r="L53" s="411"/>
      <c r="M53" s="411"/>
      <c r="N53" s="411"/>
      <c r="O53" s="411"/>
      <c r="P53" s="411"/>
      <c r="Q53" s="411"/>
      <c r="R53" s="411"/>
      <c r="S53" s="411"/>
      <c r="T53" s="412"/>
    </row>
    <row r="54" spans="2:20" x14ac:dyDescent="0.2">
      <c r="B54" s="394"/>
      <c r="C54" s="404" t="s">
        <v>109</v>
      </c>
      <c r="D54" s="405"/>
      <c r="E54" s="405"/>
      <c r="F54" s="405"/>
      <c r="G54" s="405"/>
      <c r="H54" s="405"/>
      <c r="I54" s="405"/>
      <c r="J54" s="405"/>
      <c r="K54" s="405"/>
      <c r="L54" s="405"/>
      <c r="M54" s="405"/>
      <c r="N54" s="405"/>
      <c r="O54" s="405"/>
      <c r="P54" s="405"/>
      <c r="Q54" s="405"/>
      <c r="R54" s="405"/>
      <c r="S54" s="405"/>
      <c r="T54" s="406"/>
    </row>
    <row r="55" spans="2:20" x14ac:dyDescent="0.2">
      <c r="B55" s="395" t="s">
        <v>63</v>
      </c>
      <c r="C55" s="404" t="s">
        <v>110</v>
      </c>
      <c r="D55" s="405"/>
      <c r="E55" s="405"/>
      <c r="F55" s="405"/>
      <c r="G55" s="405"/>
      <c r="H55" s="405"/>
      <c r="I55" s="405"/>
      <c r="J55" s="405"/>
      <c r="K55" s="405"/>
      <c r="L55" s="405"/>
      <c r="M55" s="405"/>
      <c r="N55" s="405"/>
      <c r="O55" s="405"/>
      <c r="P55" s="405"/>
      <c r="Q55" s="405"/>
      <c r="R55" s="405"/>
      <c r="S55" s="405"/>
      <c r="T55" s="406"/>
    </row>
    <row r="56" spans="2:20" x14ac:dyDescent="0.2">
      <c r="B56" s="399" t="s">
        <v>61</v>
      </c>
      <c r="C56" s="407" t="s">
        <v>111</v>
      </c>
      <c r="D56" s="408"/>
      <c r="E56" s="408"/>
      <c r="F56" s="408"/>
      <c r="G56" s="408"/>
      <c r="H56" s="408"/>
      <c r="I56" s="408"/>
      <c r="J56" s="408"/>
      <c r="K56" s="408"/>
      <c r="L56" s="408"/>
      <c r="M56" s="408"/>
      <c r="N56" s="408"/>
      <c r="O56" s="408"/>
      <c r="P56" s="408"/>
      <c r="Q56" s="408"/>
      <c r="R56" s="408"/>
      <c r="S56" s="408"/>
      <c r="T56" s="409"/>
    </row>
    <row r="57" spans="2:20" x14ac:dyDescent="0.2">
      <c r="B57" s="376"/>
    </row>
    <row r="58" spans="2:20" x14ac:dyDescent="0.2">
      <c r="B58" s="393">
        <v>0</v>
      </c>
      <c r="C58" s="410" t="s">
        <v>112</v>
      </c>
      <c r="D58" s="411"/>
      <c r="E58" s="411"/>
      <c r="F58" s="411"/>
      <c r="G58" s="411"/>
      <c r="H58" s="411"/>
      <c r="I58" s="411"/>
      <c r="J58" s="411"/>
      <c r="K58" s="411"/>
      <c r="L58" s="411"/>
      <c r="M58" s="411"/>
      <c r="N58" s="411"/>
      <c r="O58" s="411"/>
      <c r="P58" s="411"/>
      <c r="Q58" s="411"/>
      <c r="R58" s="411"/>
      <c r="S58" s="411"/>
      <c r="T58" s="412"/>
    </row>
    <row r="59" spans="2:20" x14ac:dyDescent="0.2">
      <c r="B59" s="394"/>
      <c r="C59" s="404" t="s">
        <v>113</v>
      </c>
      <c r="D59" s="405"/>
      <c r="E59" s="405"/>
      <c r="F59" s="405"/>
      <c r="G59" s="405"/>
      <c r="H59" s="405"/>
      <c r="I59" s="405"/>
      <c r="J59" s="405"/>
      <c r="K59" s="405"/>
      <c r="L59" s="405"/>
      <c r="M59" s="405"/>
      <c r="N59" s="405"/>
      <c r="O59" s="405"/>
      <c r="P59" s="405"/>
      <c r="Q59" s="405"/>
      <c r="R59" s="405"/>
      <c r="S59" s="405"/>
      <c r="T59" s="406"/>
    </row>
    <row r="60" spans="2:20" x14ac:dyDescent="0.2">
      <c r="B60" s="395" t="s">
        <v>63</v>
      </c>
      <c r="C60" s="404" t="s">
        <v>114</v>
      </c>
      <c r="D60" s="405"/>
      <c r="E60" s="405"/>
      <c r="F60" s="405"/>
      <c r="G60" s="405"/>
      <c r="H60" s="405"/>
      <c r="I60" s="405"/>
      <c r="J60" s="405"/>
      <c r="K60" s="405"/>
      <c r="L60" s="405"/>
      <c r="M60" s="405"/>
      <c r="N60" s="405"/>
      <c r="O60" s="405"/>
      <c r="P60" s="405"/>
      <c r="Q60" s="405"/>
      <c r="R60" s="405"/>
      <c r="S60" s="405"/>
      <c r="T60" s="406"/>
    </row>
    <row r="61" spans="2:20" x14ac:dyDescent="0.2">
      <c r="B61" s="399" t="s">
        <v>61</v>
      </c>
      <c r="C61" s="407" t="s">
        <v>115</v>
      </c>
      <c r="D61" s="408"/>
      <c r="E61" s="408"/>
      <c r="F61" s="408"/>
      <c r="G61" s="408"/>
      <c r="H61" s="408"/>
      <c r="I61" s="408"/>
      <c r="J61" s="408"/>
      <c r="K61" s="408"/>
      <c r="L61" s="408"/>
      <c r="M61" s="408"/>
      <c r="N61" s="408"/>
      <c r="O61" s="408"/>
      <c r="P61" s="408"/>
      <c r="Q61" s="408"/>
      <c r="R61" s="408"/>
      <c r="S61" s="408"/>
      <c r="T61" s="409"/>
    </row>
    <row r="62" spans="2:20" x14ac:dyDescent="0.2">
      <c r="B62" s="376"/>
      <c r="C62" s="1"/>
    </row>
    <row r="63" spans="2:20" x14ac:dyDescent="0.2">
      <c r="B63" s="400">
        <v>0</v>
      </c>
      <c r="C63" s="401" t="s">
        <v>116</v>
      </c>
      <c r="D63" s="402"/>
      <c r="E63" s="402"/>
      <c r="F63" s="402"/>
      <c r="G63" s="402"/>
      <c r="H63" s="402"/>
      <c r="I63" s="402"/>
      <c r="J63" s="402"/>
      <c r="K63" s="402"/>
      <c r="L63" s="402"/>
      <c r="M63" s="402"/>
      <c r="N63" s="402"/>
      <c r="O63" s="402"/>
      <c r="P63" s="402"/>
      <c r="Q63" s="402"/>
      <c r="R63" s="402"/>
      <c r="S63" s="402"/>
      <c r="T63" s="403"/>
    </row>
    <row r="64" spans="2:20" x14ac:dyDescent="0.2">
      <c r="B64" s="394"/>
      <c r="C64" s="404" t="s">
        <v>117</v>
      </c>
      <c r="D64" s="405"/>
      <c r="E64" s="405"/>
      <c r="F64" s="405"/>
      <c r="G64" s="405"/>
      <c r="H64" s="405"/>
      <c r="I64" s="405"/>
      <c r="J64" s="405"/>
      <c r="K64" s="405"/>
      <c r="L64" s="405"/>
      <c r="M64" s="405"/>
      <c r="N64" s="405"/>
      <c r="O64" s="405"/>
      <c r="P64" s="405"/>
      <c r="Q64" s="405"/>
      <c r="R64" s="405"/>
      <c r="S64" s="405"/>
      <c r="T64" s="406"/>
    </row>
    <row r="65" spans="2:20" x14ac:dyDescent="0.2">
      <c r="B65" s="395" t="s">
        <v>63</v>
      </c>
      <c r="C65" s="404" t="s">
        <v>118</v>
      </c>
      <c r="D65" s="405"/>
      <c r="E65" s="405"/>
      <c r="F65" s="405"/>
      <c r="G65" s="405"/>
      <c r="H65" s="405"/>
      <c r="I65" s="405"/>
      <c r="J65" s="405"/>
      <c r="K65" s="405"/>
      <c r="L65" s="405"/>
      <c r="M65" s="405"/>
      <c r="N65" s="405"/>
      <c r="O65" s="405"/>
      <c r="P65" s="405"/>
      <c r="Q65" s="405"/>
      <c r="R65" s="405"/>
      <c r="S65" s="405"/>
      <c r="T65" s="406"/>
    </row>
    <row r="66" spans="2:20" x14ac:dyDescent="0.2">
      <c r="B66" s="396" t="s">
        <v>64</v>
      </c>
      <c r="C66" s="407" t="s">
        <v>119</v>
      </c>
      <c r="D66" s="408"/>
      <c r="E66" s="408"/>
      <c r="F66" s="408"/>
      <c r="G66" s="408"/>
      <c r="H66" s="408"/>
      <c r="I66" s="408"/>
      <c r="J66" s="408"/>
      <c r="K66" s="408"/>
      <c r="L66" s="408"/>
      <c r="M66" s="408"/>
      <c r="N66" s="408"/>
      <c r="O66" s="408"/>
      <c r="P66" s="408"/>
      <c r="Q66" s="408"/>
      <c r="R66" s="408"/>
      <c r="S66" s="408"/>
      <c r="T66" s="409"/>
    </row>
    <row r="67" spans="2:20" x14ac:dyDescent="0.2">
      <c r="B67" s="376"/>
    </row>
    <row r="68" spans="2:20" x14ac:dyDescent="0.2">
      <c r="B68" s="414">
        <v>9999</v>
      </c>
      <c r="C68" s="401" t="s">
        <v>120</v>
      </c>
      <c r="D68" s="402"/>
      <c r="E68" s="402"/>
      <c r="F68" s="402"/>
      <c r="G68" s="402"/>
      <c r="H68" s="402"/>
      <c r="I68" s="402"/>
      <c r="J68" s="402"/>
      <c r="K68" s="402"/>
      <c r="L68" s="402"/>
      <c r="M68" s="402"/>
      <c r="N68" s="402"/>
      <c r="O68" s="402"/>
      <c r="P68" s="402"/>
      <c r="Q68" s="402"/>
      <c r="R68" s="402"/>
      <c r="S68" s="402"/>
      <c r="T68" s="403"/>
    </row>
    <row r="69" spans="2:20" x14ac:dyDescent="0.2">
      <c r="B69" s="394"/>
      <c r="C69" s="404" t="s">
        <v>121</v>
      </c>
      <c r="D69" s="405"/>
      <c r="E69" s="405"/>
      <c r="F69" s="405"/>
      <c r="G69" s="405"/>
      <c r="H69" s="405"/>
      <c r="I69" s="405"/>
      <c r="J69" s="405"/>
      <c r="K69" s="405"/>
      <c r="L69" s="405"/>
      <c r="M69" s="405"/>
      <c r="N69" s="405"/>
      <c r="O69" s="405"/>
      <c r="P69" s="405"/>
      <c r="Q69" s="405"/>
      <c r="R69" s="405"/>
      <c r="S69" s="405"/>
      <c r="T69" s="406"/>
    </row>
    <row r="70" spans="2:20" x14ac:dyDescent="0.2">
      <c r="B70" s="395" t="s">
        <v>65</v>
      </c>
      <c r="C70" s="404" t="s">
        <v>122</v>
      </c>
      <c r="D70" s="405"/>
      <c r="E70" s="405"/>
      <c r="F70" s="405"/>
      <c r="G70" s="405"/>
      <c r="H70" s="405"/>
      <c r="I70" s="405"/>
      <c r="J70" s="405"/>
      <c r="K70" s="405"/>
      <c r="L70" s="405"/>
      <c r="M70" s="405"/>
      <c r="N70" s="405"/>
      <c r="O70" s="405"/>
      <c r="P70" s="405"/>
      <c r="Q70" s="405"/>
      <c r="R70" s="405"/>
      <c r="S70" s="405"/>
      <c r="T70" s="406"/>
    </row>
    <row r="71" spans="2:20" x14ac:dyDescent="0.2">
      <c r="B71" s="396" t="s">
        <v>124</v>
      </c>
      <c r="C71" s="407" t="s">
        <v>123</v>
      </c>
      <c r="D71" s="408"/>
      <c r="E71" s="408"/>
      <c r="F71" s="408"/>
      <c r="G71" s="408"/>
      <c r="H71" s="408"/>
      <c r="I71" s="408"/>
      <c r="J71" s="408"/>
      <c r="K71" s="408"/>
      <c r="L71" s="408"/>
      <c r="M71" s="408"/>
      <c r="N71" s="408"/>
      <c r="O71" s="408"/>
      <c r="P71" s="408"/>
      <c r="Q71" s="408"/>
      <c r="R71" s="408"/>
      <c r="S71" s="408"/>
      <c r="T71" s="409"/>
    </row>
    <row r="72" spans="2:20" ht="13.5" thickBot="1" x14ac:dyDescent="0.25"/>
    <row r="73" spans="2:20" ht="5.25" customHeight="1" x14ac:dyDescent="0.2">
      <c r="B73" s="417"/>
      <c r="C73" s="418"/>
      <c r="D73" s="419"/>
      <c r="E73" s="419"/>
      <c r="F73" s="419"/>
      <c r="G73" s="419"/>
      <c r="H73" s="419"/>
      <c r="I73" s="419"/>
      <c r="J73" s="419"/>
      <c r="K73" s="419"/>
      <c r="L73" s="419"/>
      <c r="M73" s="419"/>
      <c r="N73" s="419"/>
      <c r="O73" s="419"/>
      <c r="P73" s="419"/>
      <c r="Q73" s="419"/>
      <c r="R73" s="419"/>
      <c r="S73" s="419"/>
      <c r="T73" s="420"/>
    </row>
    <row r="74" spans="2:20" ht="21" customHeight="1" x14ac:dyDescent="0.2">
      <c r="B74" s="421"/>
      <c r="C74" s="489" t="s">
        <v>125</v>
      </c>
      <c r="D74" s="416"/>
      <c r="E74" s="416"/>
      <c r="F74" s="416"/>
      <c r="G74" s="416"/>
      <c r="H74" s="416"/>
      <c r="I74" s="416"/>
      <c r="J74" s="416"/>
      <c r="K74" s="416"/>
      <c r="L74" s="416"/>
      <c r="M74" s="416"/>
      <c r="N74" s="416"/>
      <c r="O74" s="416"/>
      <c r="P74" s="416"/>
      <c r="Q74" s="416"/>
      <c r="R74" s="416"/>
      <c r="S74" s="416"/>
      <c r="T74" s="422"/>
    </row>
    <row r="75" spans="2:20" ht="5.25" customHeight="1" thickBot="1" x14ac:dyDescent="0.25">
      <c r="B75" s="485"/>
      <c r="C75" s="486"/>
      <c r="D75" s="487"/>
      <c r="E75" s="487"/>
      <c r="F75" s="487"/>
      <c r="G75" s="487"/>
      <c r="H75" s="487"/>
      <c r="I75" s="487"/>
      <c r="J75" s="487"/>
      <c r="K75" s="487"/>
      <c r="L75" s="487"/>
      <c r="M75" s="487"/>
      <c r="N75" s="487"/>
      <c r="O75" s="487"/>
      <c r="P75" s="487"/>
      <c r="Q75" s="487"/>
      <c r="R75" s="487"/>
      <c r="S75" s="487"/>
      <c r="T75" s="488"/>
    </row>
  </sheetData>
  <pageMargins left="0.78740157499999996" right="0.78740157499999996" top="0.984251969" bottom="0.984251969" header="0.4921259845" footer="0.4921259845"/>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A57" sqref="A57"/>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34" t="s">
        <v>171</v>
      </c>
      <c r="B1" s="636" t="s">
        <v>172</v>
      </c>
      <c r="C1" s="637"/>
      <c r="D1" s="638" t="s">
        <v>150</v>
      </c>
      <c r="E1" s="639"/>
      <c r="F1" s="627" t="s">
        <v>212</v>
      </c>
      <c r="G1" s="628"/>
      <c r="H1" s="628"/>
      <c r="I1" s="629"/>
      <c r="J1" s="44">
        <v>2019</v>
      </c>
      <c r="K1" s="627" t="s">
        <v>213</v>
      </c>
      <c r="L1" s="628"/>
      <c r="M1" s="628"/>
      <c r="N1" s="629"/>
      <c r="O1" s="44">
        <v>2020</v>
      </c>
      <c r="P1" s="627" t="s">
        <v>253</v>
      </c>
      <c r="Q1" s="628"/>
      <c r="R1" s="628"/>
      <c r="S1" s="629"/>
      <c r="T1" s="94">
        <v>2021</v>
      </c>
      <c r="U1" s="164">
        <v>2022</v>
      </c>
      <c r="V1" s="44">
        <v>2023</v>
      </c>
      <c r="W1" s="165">
        <v>2024</v>
      </c>
      <c r="X1" s="170"/>
      <c r="Y1" s="511" t="s">
        <v>270</v>
      </c>
      <c r="Z1" s="38">
        <v>2019</v>
      </c>
      <c r="AA1" s="38">
        <v>2019</v>
      </c>
      <c r="AB1" s="38">
        <v>2019</v>
      </c>
      <c r="AC1" s="44" t="s">
        <v>11</v>
      </c>
      <c r="AD1" s="44" t="s">
        <v>11</v>
      </c>
      <c r="AE1" s="38">
        <v>2019</v>
      </c>
      <c r="AF1" s="38">
        <v>2019</v>
      </c>
      <c r="AG1" s="38">
        <v>2019</v>
      </c>
      <c r="AH1" s="44" t="s">
        <v>12</v>
      </c>
      <c r="AI1" s="44" t="s">
        <v>12</v>
      </c>
      <c r="AJ1" s="38">
        <v>2019</v>
      </c>
      <c r="AK1" s="38">
        <v>2019</v>
      </c>
      <c r="AL1" s="38">
        <v>2019</v>
      </c>
      <c r="AM1" s="44" t="s">
        <v>13</v>
      </c>
      <c r="AN1" s="44" t="s">
        <v>13</v>
      </c>
      <c r="AO1" s="38">
        <v>2019</v>
      </c>
      <c r="AP1" s="38">
        <v>2019</v>
      </c>
      <c r="AQ1" s="38">
        <v>2019</v>
      </c>
      <c r="AR1" s="44" t="s">
        <v>10</v>
      </c>
      <c r="AS1" s="44" t="s">
        <v>10</v>
      </c>
      <c r="AT1" s="38">
        <v>2020</v>
      </c>
      <c r="AU1" s="37">
        <v>2020</v>
      </c>
      <c r="AV1" s="37">
        <v>2020</v>
      </c>
      <c r="AW1" s="44" t="s">
        <v>9</v>
      </c>
      <c r="AX1" s="44" t="s">
        <v>9</v>
      </c>
      <c r="AY1" s="37">
        <v>2020</v>
      </c>
      <c r="AZ1" s="37">
        <v>2020</v>
      </c>
      <c r="BA1" s="37">
        <v>2020</v>
      </c>
      <c r="BB1" s="44" t="s">
        <v>8</v>
      </c>
      <c r="BC1" s="44" t="s">
        <v>8</v>
      </c>
      <c r="BD1" s="37">
        <v>2020</v>
      </c>
      <c r="BE1" s="37">
        <v>2020</v>
      </c>
      <c r="BF1" s="37">
        <v>2020</v>
      </c>
      <c r="BG1" s="44" t="s">
        <v>15</v>
      </c>
      <c r="BH1" s="44" t="s">
        <v>15</v>
      </c>
      <c r="BI1" s="39">
        <v>2020</v>
      </c>
      <c r="BJ1" s="39">
        <v>2020</v>
      </c>
      <c r="BK1" s="39">
        <v>2020</v>
      </c>
      <c r="BL1" s="44" t="s">
        <v>16</v>
      </c>
      <c r="BM1" s="44" t="s">
        <v>16</v>
      </c>
      <c r="BN1" s="39">
        <v>2021</v>
      </c>
      <c r="BO1" s="39">
        <v>2021</v>
      </c>
      <c r="BP1" s="39">
        <v>2021</v>
      </c>
      <c r="BQ1" s="44" t="s">
        <v>256</v>
      </c>
      <c r="BR1" s="44" t="s">
        <v>256</v>
      </c>
      <c r="BS1" s="39">
        <v>2021</v>
      </c>
      <c r="BT1" s="39">
        <v>2021</v>
      </c>
      <c r="BU1" s="39">
        <v>2021</v>
      </c>
      <c r="BV1" s="44" t="s">
        <v>257</v>
      </c>
      <c r="BW1" s="44" t="s">
        <v>257</v>
      </c>
      <c r="BX1" s="39">
        <v>2021</v>
      </c>
      <c r="BY1" s="39">
        <v>2021</v>
      </c>
      <c r="BZ1" s="39">
        <v>2021</v>
      </c>
      <c r="CA1" s="44" t="s">
        <v>258</v>
      </c>
      <c r="CB1" s="44" t="s">
        <v>258</v>
      </c>
      <c r="CC1" s="39">
        <v>2021</v>
      </c>
      <c r="CD1" s="39">
        <v>2021</v>
      </c>
      <c r="CE1" s="39">
        <v>2021</v>
      </c>
      <c r="CF1" s="44" t="s">
        <v>255</v>
      </c>
      <c r="CG1" s="44" t="s">
        <v>255</v>
      </c>
    </row>
    <row r="2" spans="1:175" s="2" customFormat="1" ht="10.5" customHeight="1" thickBot="1" x14ac:dyDescent="0.25">
      <c r="A2" s="635"/>
      <c r="B2" s="725" t="s">
        <v>59</v>
      </c>
      <c r="C2" s="726"/>
      <c r="D2" s="632" t="s">
        <v>173</v>
      </c>
      <c r="E2" s="633"/>
      <c r="F2" s="93" t="s">
        <v>53</v>
      </c>
      <c r="G2" s="90" t="s">
        <v>54</v>
      </c>
      <c r="H2" s="90" t="s">
        <v>6</v>
      </c>
      <c r="I2" s="91" t="s">
        <v>7</v>
      </c>
      <c r="J2" s="92" t="s">
        <v>214</v>
      </c>
      <c r="K2" s="93" t="s">
        <v>4</v>
      </c>
      <c r="L2" s="90" t="s">
        <v>5</v>
      </c>
      <c r="M2" s="90" t="s">
        <v>6</v>
      </c>
      <c r="N2" s="91" t="s">
        <v>7</v>
      </c>
      <c r="O2" s="92" t="s">
        <v>214</v>
      </c>
      <c r="P2" s="93" t="s">
        <v>4</v>
      </c>
      <c r="Q2" s="90" t="s">
        <v>5</v>
      </c>
      <c r="R2" s="90" t="s">
        <v>6</v>
      </c>
      <c r="S2" s="91" t="s">
        <v>7</v>
      </c>
      <c r="T2" s="156" t="s">
        <v>214</v>
      </c>
      <c r="U2" s="640" t="s">
        <v>254</v>
      </c>
      <c r="V2" s="641"/>
      <c r="W2" s="642"/>
      <c r="X2" s="171"/>
      <c r="Y2" s="513" t="s">
        <v>215</v>
      </c>
      <c r="Z2" s="47" t="s">
        <v>216</v>
      </c>
      <c r="AA2" s="48" t="s">
        <v>224</v>
      </c>
      <c r="AB2" s="48" t="s">
        <v>217</v>
      </c>
      <c r="AC2" s="49" t="s">
        <v>223</v>
      </c>
      <c r="AD2" s="49" t="s">
        <v>14</v>
      </c>
      <c r="AE2" s="48" t="s">
        <v>0</v>
      </c>
      <c r="AF2" s="48" t="s">
        <v>218</v>
      </c>
      <c r="AG2" s="48" t="s">
        <v>219</v>
      </c>
      <c r="AH2" s="49" t="s">
        <v>223</v>
      </c>
      <c r="AI2" s="49" t="s">
        <v>14</v>
      </c>
      <c r="AJ2" s="48" t="s">
        <v>220</v>
      </c>
      <c r="AK2" s="48" t="s">
        <v>1</v>
      </c>
      <c r="AL2" s="48" t="s">
        <v>2</v>
      </c>
      <c r="AM2" s="49" t="s">
        <v>223</v>
      </c>
      <c r="AN2" s="49" t="s">
        <v>14</v>
      </c>
      <c r="AO2" s="48" t="s">
        <v>221</v>
      </c>
      <c r="AP2" s="48" t="s">
        <v>3</v>
      </c>
      <c r="AQ2" s="48" t="s">
        <v>222</v>
      </c>
      <c r="AR2" s="49" t="s">
        <v>223</v>
      </c>
      <c r="AS2" s="49" t="s">
        <v>14</v>
      </c>
      <c r="AT2" s="47" t="s">
        <v>216</v>
      </c>
      <c r="AU2" s="48" t="s">
        <v>224</v>
      </c>
      <c r="AV2" s="48" t="s">
        <v>217</v>
      </c>
      <c r="AW2" s="49" t="s">
        <v>223</v>
      </c>
      <c r="AX2" s="49" t="s">
        <v>14</v>
      </c>
      <c r="AY2" s="48" t="s">
        <v>0</v>
      </c>
      <c r="AZ2" s="48" t="s">
        <v>218</v>
      </c>
      <c r="BA2" s="48" t="s">
        <v>219</v>
      </c>
      <c r="BB2" s="49" t="s">
        <v>223</v>
      </c>
      <c r="BC2" s="49" t="s">
        <v>14</v>
      </c>
      <c r="BD2" s="48" t="s">
        <v>220</v>
      </c>
      <c r="BE2" s="48" t="s">
        <v>1</v>
      </c>
      <c r="BF2" s="48" t="s">
        <v>2</v>
      </c>
      <c r="BG2" s="49" t="s">
        <v>223</v>
      </c>
      <c r="BH2" s="49" t="s">
        <v>14</v>
      </c>
      <c r="BI2" s="48" t="s">
        <v>221</v>
      </c>
      <c r="BJ2" s="48" t="s">
        <v>3</v>
      </c>
      <c r="BK2" s="48" t="s">
        <v>222</v>
      </c>
      <c r="BL2" s="49" t="s">
        <v>223</v>
      </c>
      <c r="BM2" s="49" t="s">
        <v>14</v>
      </c>
      <c r="BN2" s="47" t="s">
        <v>216</v>
      </c>
      <c r="BO2" s="48" t="s">
        <v>224</v>
      </c>
      <c r="BP2" s="48" t="s">
        <v>217</v>
      </c>
      <c r="BQ2" s="49" t="s">
        <v>223</v>
      </c>
      <c r="BR2" s="49" t="s">
        <v>14</v>
      </c>
      <c r="BS2" s="48" t="s">
        <v>0</v>
      </c>
      <c r="BT2" s="48" t="s">
        <v>218</v>
      </c>
      <c r="BU2" s="48" t="s">
        <v>219</v>
      </c>
      <c r="BV2" s="49" t="s">
        <v>223</v>
      </c>
      <c r="BW2" s="49" t="s">
        <v>14</v>
      </c>
      <c r="BX2" s="48" t="s">
        <v>220</v>
      </c>
      <c r="BY2" s="48" t="s">
        <v>1</v>
      </c>
      <c r="BZ2" s="48" t="s">
        <v>2</v>
      </c>
      <c r="CA2" s="49" t="s">
        <v>223</v>
      </c>
      <c r="CB2" s="49" t="s">
        <v>14</v>
      </c>
      <c r="CC2" s="48" t="s">
        <v>221</v>
      </c>
      <c r="CD2" s="48" t="s">
        <v>3</v>
      </c>
      <c r="CE2" s="48" t="s">
        <v>222</v>
      </c>
      <c r="CF2" s="49" t="s">
        <v>223</v>
      </c>
      <c r="CG2" s="49" t="s">
        <v>14</v>
      </c>
    </row>
    <row r="3" spans="1:175" s="34" customFormat="1" ht="10.5" customHeight="1" x14ac:dyDescent="0.15">
      <c r="A3" s="50" t="s">
        <v>174</v>
      </c>
      <c r="B3" s="287"/>
      <c r="C3" s="288"/>
      <c r="D3" s="287"/>
      <c r="E3" s="289"/>
      <c r="F3" s="227"/>
      <c r="G3" s="206"/>
      <c r="H3" s="206"/>
      <c r="I3" s="206"/>
      <c r="J3" s="248"/>
      <c r="K3" s="206"/>
      <c r="L3" s="206"/>
      <c r="M3" s="206"/>
      <c r="N3" s="206"/>
      <c r="O3" s="316"/>
      <c r="P3" s="206"/>
      <c r="Q3" s="206"/>
      <c r="R3" s="206"/>
      <c r="S3" s="206"/>
      <c r="T3" s="246"/>
      <c r="U3" s="247"/>
      <c r="V3" s="248"/>
      <c r="W3" s="249"/>
      <c r="X3" s="209"/>
      <c r="Y3" s="496"/>
      <c r="Z3" s="206"/>
      <c r="AA3" s="206"/>
      <c r="AB3" s="206"/>
      <c r="AC3" s="248"/>
      <c r="AD3" s="207"/>
      <c r="AE3" s="206"/>
      <c r="AF3" s="206"/>
      <c r="AG3" s="206"/>
      <c r="AH3" s="248"/>
      <c r="AI3" s="207"/>
      <c r="AJ3" s="206"/>
      <c r="AK3" s="206"/>
      <c r="AL3" s="206"/>
      <c r="AM3" s="248"/>
      <c r="AN3" s="207"/>
      <c r="AO3" s="206"/>
      <c r="AP3" s="206"/>
      <c r="AQ3" s="206"/>
      <c r="AR3" s="248"/>
      <c r="AS3" s="207"/>
      <c r="AT3" s="206"/>
      <c r="AU3" s="206"/>
      <c r="AV3" s="206"/>
      <c r="AW3" s="248"/>
      <c r="AX3" s="207"/>
      <c r="AY3" s="206"/>
      <c r="AZ3" s="206"/>
      <c r="BA3" s="206"/>
      <c r="BB3" s="248"/>
      <c r="BC3" s="207"/>
      <c r="BD3" s="206"/>
      <c r="BE3" s="206"/>
      <c r="BF3" s="206"/>
      <c r="BG3" s="248"/>
      <c r="BH3" s="207"/>
      <c r="BI3" s="206"/>
      <c r="BJ3" s="206"/>
      <c r="BK3" s="206"/>
      <c r="BL3" s="248"/>
      <c r="BM3" s="207"/>
      <c r="BN3" s="206"/>
      <c r="BO3" s="206"/>
      <c r="BP3" s="206"/>
      <c r="BQ3" s="248"/>
      <c r="BR3" s="207"/>
      <c r="BS3" s="206"/>
      <c r="BT3" s="206"/>
      <c r="BU3" s="206"/>
      <c r="BV3" s="248"/>
      <c r="BW3" s="207"/>
      <c r="BX3" s="206"/>
      <c r="BY3" s="206"/>
      <c r="BZ3" s="206"/>
      <c r="CA3" s="248"/>
      <c r="CB3" s="207"/>
      <c r="CC3" s="206"/>
      <c r="CD3" s="206"/>
      <c r="CE3" s="206"/>
      <c r="CF3" s="248"/>
      <c r="CG3" s="208"/>
    </row>
    <row r="4" spans="1:175" s="9" customFormat="1" ht="9.75" customHeight="1" x14ac:dyDescent="0.15">
      <c r="A4" s="51" t="s">
        <v>175</v>
      </c>
      <c r="B4" s="290">
        <f>B45</f>
        <v>0</v>
      </c>
      <c r="C4" s="291">
        <f>C45</f>
        <v>500000</v>
      </c>
      <c r="D4" s="643" t="s">
        <v>210</v>
      </c>
      <c r="E4" s="644"/>
      <c r="F4" s="228">
        <f>SUM(1000/G44)</f>
        <v>125</v>
      </c>
      <c r="G4" s="98">
        <f>SUM((F45+F46)/G44)</f>
        <v>125</v>
      </c>
      <c r="H4" s="98">
        <f>SUM((G45+G46)/H44)</f>
        <v>0</v>
      </c>
      <c r="I4" s="98">
        <f>SUM((H45+H46)/I44)</f>
        <v>0</v>
      </c>
      <c r="J4" s="251">
        <f>SUM(F4+G4+H4+I4)*3</f>
        <v>750</v>
      </c>
      <c r="K4" s="35">
        <f>SUM((I45+I46)/K44)</f>
        <v>0</v>
      </c>
      <c r="L4" s="35">
        <f>SUM((K45+K46)/L44)</f>
        <v>0</v>
      </c>
      <c r="M4" s="35">
        <f>SUM((L45+L46)/M44)</f>
        <v>0</v>
      </c>
      <c r="N4" s="35">
        <f>SUM((M45+M46)/N44)</f>
        <v>0</v>
      </c>
      <c r="O4" s="251">
        <f>SUM(K4+L4+M4+N4)*3</f>
        <v>0</v>
      </c>
      <c r="P4" s="35">
        <f>SUM((N45+N46)/P44)</f>
        <v>0</v>
      </c>
      <c r="Q4" s="35">
        <f>SUM((P45+P46)/Q44)</f>
        <v>0</v>
      </c>
      <c r="R4" s="35">
        <f>SUM((Q45+Q46)/R44)</f>
        <v>0</v>
      </c>
      <c r="S4" s="35">
        <f>SUM((R45+R46)/S44)</f>
        <v>0</v>
      </c>
      <c r="T4" s="315">
        <f>SUM(P4+Q4+R4+S4)*3</f>
        <v>0</v>
      </c>
      <c r="U4" s="250">
        <f>SUM(U45/U44)</f>
        <v>0</v>
      </c>
      <c r="V4" s="251">
        <f>SUM(V45/V44)</f>
        <v>0</v>
      </c>
      <c r="W4" s="252">
        <f>SUM(W45/W44)</f>
        <v>0</v>
      </c>
      <c r="X4" s="173"/>
      <c r="Y4" s="490">
        <v>0</v>
      </c>
      <c r="Z4" s="35">
        <f>F4</f>
        <v>125</v>
      </c>
      <c r="AA4" s="35">
        <f>F4</f>
        <v>125</v>
      </c>
      <c r="AB4" s="35">
        <f>F4</f>
        <v>125</v>
      </c>
      <c r="AC4" s="251">
        <f>SUM(Z4:AB4)</f>
        <v>375</v>
      </c>
      <c r="AD4" s="43"/>
      <c r="AE4" s="35">
        <f>G4</f>
        <v>125</v>
      </c>
      <c r="AF4" s="35">
        <f>G4</f>
        <v>125</v>
      </c>
      <c r="AG4" s="35">
        <f>G4</f>
        <v>125</v>
      </c>
      <c r="AH4" s="251">
        <f>SUM(AE4:AG4)</f>
        <v>375</v>
      </c>
      <c r="AI4" s="43"/>
      <c r="AJ4" s="35">
        <f>H4</f>
        <v>0</v>
      </c>
      <c r="AK4" s="35">
        <f>H4</f>
        <v>0</v>
      </c>
      <c r="AL4" s="35">
        <f>H4</f>
        <v>0</v>
      </c>
      <c r="AM4" s="251">
        <f>SUM(AJ4:AL4)</f>
        <v>0</v>
      </c>
      <c r="AN4" s="43"/>
      <c r="AO4" s="35">
        <f>I4</f>
        <v>0</v>
      </c>
      <c r="AP4" s="35">
        <f>I4</f>
        <v>0</v>
      </c>
      <c r="AQ4" s="35">
        <f>I4</f>
        <v>0</v>
      </c>
      <c r="AR4" s="251">
        <f>SUM(AO4:AQ4)</f>
        <v>0</v>
      </c>
      <c r="AS4" s="43"/>
      <c r="AT4" s="35">
        <f>K4</f>
        <v>0</v>
      </c>
      <c r="AU4" s="35">
        <f>K4</f>
        <v>0</v>
      </c>
      <c r="AV4" s="35">
        <f>K4</f>
        <v>0</v>
      </c>
      <c r="AW4" s="251">
        <f>SUM(AT4:AV4)</f>
        <v>0</v>
      </c>
      <c r="AX4" s="43"/>
      <c r="AY4" s="35">
        <f>L4</f>
        <v>0</v>
      </c>
      <c r="AZ4" s="35">
        <f>L4</f>
        <v>0</v>
      </c>
      <c r="BA4" s="35">
        <f>L4</f>
        <v>0</v>
      </c>
      <c r="BB4" s="251">
        <f>SUM(AY4:BA4)</f>
        <v>0</v>
      </c>
      <c r="BC4" s="43"/>
      <c r="BD4" s="35">
        <f>M4</f>
        <v>0</v>
      </c>
      <c r="BE4" s="35">
        <f>M4</f>
        <v>0</v>
      </c>
      <c r="BF4" s="35">
        <f>M4</f>
        <v>0</v>
      </c>
      <c r="BG4" s="251">
        <f>SUM(BD4:BF4)</f>
        <v>0</v>
      </c>
      <c r="BH4" s="43"/>
      <c r="BI4" s="35">
        <f>N4</f>
        <v>0</v>
      </c>
      <c r="BJ4" s="35">
        <f>N4</f>
        <v>0</v>
      </c>
      <c r="BK4" s="35">
        <f>N4</f>
        <v>0</v>
      </c>
      <c r="BL4" s="251">
        <f>SUM(BI4:BK4)</f>
        <v>0</v>
      </c>
      <c r="BM4" s="43"/>
      <c r="BN4" s="35">
        <f>P4</f>
        <v>0</v>
      </c>
      <c r="BO4" s="35">
        <f>P4</f>
        <v>0</v>
      </c>
      <c r="BP4" s="35">
        <f>P4</f>
        <v>0</v>
      </c>
      <c r="BQ4" s="251">
        <f>SUM(BN4:BP4)</f>
        <v>0</v>
      </c>
      <c r="BR4" s="43"/>
      <c r="BS4" s="35">
        <f>Q4</f>
        <v>0</v>
      </c>
      <c r="BT4" s="35">
        <f>Q4</f>
        <v>0</v>
      </c>
      <c r="BU4" s="35">
        <f>Q4</f>
        <v>0</v>
      </c>
      <c r="BV4" s="251">
        <f>SUM(BS4:BU4)</f>
        <v>0</v>
      </c>
      <c r="BW4" s="43"/>
      <c r="BX4" s="35">
        <f>R4</f>
        <v>0</v>
      </c>
      <c r="BY4" s="35">
        <f>R4</f>
        <v>0</v>
      </c>
      <c r="BZ4" s="35">
        <f>R4</f>
        <v>0</v>
      </c>
      <c r="CA4" s="251">
        <f>SUM(BX4:BZ4)</f>
        <v>0</v>
      </c>
      <c r="CB4" s="43"/>
      <c r="CC4" s="35">
        <f>S4</f>
        <v>0</v>
      </c>
      <c r="CD4" s="35">
        <f>S4</f>
        <v>0</v>
      </c>
      <c r="CE4" s="35">
        <f>S4</f>
        <v>0</v>
      </c>
      <c r="CF4" s="251">
        <f>SUM(CC4:CE4)</f>
        <v>0</v>
      </c>
      <c r="CG4" s="109"/>
    </row>
    <row r="5" spans="1:175" s="9" customFormat="1" ht="9.75" customHeight="1" x14ac:dyDescent="0.15">
      <c r="A5" s="51" t="s">
        <v>176</v>
      </c>
      <c r="B5" s="364">
        <v>100</v>
      </c>
      <c r="C5" s="269">
        <v>0.05</v>
      </c>
      <c r="D5" s="124"/>
      <c r="E5" s="117"/>
      <c r="F5" s="125">
        <v>1500</v>
      </c>
      <c r="G5" s="127">
        <v>2000</v>
      </c>
      <c r="H5" s="35">
        <f>SUM((IF(ISBLANK(D5),B5,D5))+(G5)*(IF(ISBLANK(E5),(1+C5),(1+E5))))</f>
        <v>2200</v>
      </c>
      <c r="I5" s="35">
        <f>SUM((IF(ISBLANK(D5),B5,D5))+(H5)*(IF(ISBLANK(E5),(1+C5),(1+E5))))</f>
        <v>2410</v>
      </c>
      <c r="J5" s="251">
        <f>SUM(F5+G5+H5+I5)*3</f>
        <v>24330</v>
      </c>
      <c r="K5" s="35">
        <f>SUM((IF(ISBLANK(D5),B5,D5))+(I5)*(IF(ISBLANK(E5),(1+C5),(1+E5))))</f>
        <v>2630.5</v>
      </c>
      <c r="L5" s="35">
        <f>SUM((IF(ISBLANK(D5),B5,D5))+(K5)*(IF(ISBLANK(E5),(1+C5),(1+E5))))</f>
        <v>2862.0250000000001</v>
      </c>
      <c r="M5" s="35">
        <f>SUM((IF(ISBLANK(D5),B5,D5))+(L5)*(IF(ISBLANK(E5),(1+C5),(1+E5))))</f>
        <v>3105.1262500000003</v>
      </c>
      <c r="N5" s="35">
        <f>SUM((IF(ISBLANK(D5),B5,D5))+(M5)*(IF(ISBLANK(E5),(1+C5),(1+E5))))</f>
        <v>3360.3825625000004</v>
      </c>
      <c r="O5" s="251">
        <f>SUM(K5+L5+M5+N5)*3</f>
        <v>35874.101437500001</v>
      </c>
      <c r="P5" s="35">
        <f>SUM((IF(ISBLANK(D5),B5,D5))+(N5)*(IF(ISBLANK(E5),(1+C5),(1+E5))))</f>
        <v>3628.4016906250004</v>
      </c>
      <c r="Q5" s="35">
        <f>SUM((IF(ISBLANK(D5),B5,D5))+(P5)*(IF(ISBLANK(E5),(1+C5),(1+E5))))</f>
        <v>3909.8217751562506</v>
      </c>
      <c r="R5" s="35">
        <f>SUM((IF(ISBLANK(D5),B5,D5))+(Q5)*(IF(ISBLANK(E5),(1+C5),(1+E5))))</f>
        <v>4205.3128639140632</v>
      </c>
      <c r="S5" s="35">
        <f>SUM((IF(ISBLANK(D5),B5,D5))+(R5)*(IF(ISBLANK(E5),(1+C5),(1+E5))))</f>
        <v>4515.5785071097662</v>
      </c>
      <c r="T5" s="315">
        <f>SUM(P5+Q5+R5+S5)*3</f>
        <v>48777.344510415249</v>
      </c>
      <c r="U5" s="250">
        <f>SUM((IF(ISBLANK(D5),B5,D5))+(S5)*(IF(ISBLANK(E5),(1+C5),(1+E5))))*12</f>
        <v>58096.289189583054</v>
      </c>
      <c r="V5" s="251">
        <f>SUM((IF(ISBLANK(D5),B5,D5))+(U5)*(IF(ISBLANK(E5),(1+C5),(1+E5))))</f>
        <v>61101.103649062206</v>
      </c>
      <c r="W5" s="252">
        <f>SUM((IF(ISBLANK(D5),B5,D5))+(V5)*(IF(ISBLANK(E5),(1+C5),(1+E5))))</f>
        <v>64256.15883151532</v>
      </c>
      <c r="X5" s="173"/>
      <c r="Y5" s="490">
        <v>2300</v>
      </c>
      <c r="Z5" s="35">
        <f t="shared" ref="Z5:Z7" si="0">F5</f>
        <v>1500</v>
      </c>
      <c r="AA5" s="35">
        <f t="shared" ref="AA5:AA7" si="1">F5</f>
        <v>1500</v>
      </c>
      <c r="AB5" s="35">
        <f t="shared" ref="AB5:AB7" si="2">F5</f>
        <v>1500</v>
      </c>
      <c r="AC5" s="251">
        <f>SUM(Z5:AB5)</f>
        <v>4500</v>
      </c>
      <c r="AD5" s="43"/>
      <c r="AE5" s="35">
        <f t="shared" ref="AE5:AE7" si="3">G5</f>
        <v>2000</v>
      </c>
      <c r="AF5" s="35">
        <f t="shared" ref="AF5:AF7" si="4">G5</f>
        <v>2000</v>
      </c>
      <c r="AG5" s="35">
        <f t="shared" ref="AG5:AG7" si="5">G5</f>
        <v>2000</v>
      </c>
      <c r="AH5" s="251">
        <f>SUM(AE5:AG5)</f>
        <v>6000</v>
      </c>
      <c r="AI5" s="43"/>
      <c r="AJ5" s="35">
        <f t="shared" ref="AJ5:AJ7" si="6">H5</f>
        <v>2200</v>
      </c>
      <c r="AK5" s="35">
        <f t="shared" ref="AK5:AK7" si="7">H5</f>
        <v>2200</v>
      </c>
      <c r="AL5" s="35">
        <f t="shared" ref="AL5:AL7" si="8">H5</f>
        <v>2200</v>
      </c>
      <c r="AM5" s="251">
        <f>SUM(AJ5:AL5)</f>
        <v>6600</v>
      </c>
      <c r="AN5" s="43"/>
      <c r="AO5" s="35">
        <f>I5</f>
        <v>2410</v>
      </c>
      <c r="AP5" s="35">
        <f>I5</f>
        <v>2410</v>
      </c>
      <c r="AQ5" s="35">
        <f>I5</f>
        <v>2410</v>
      </c>
      <c r="AR5" s="251">
        <f>SUM(AO5:AQ5)</f>
        <v>7230</v>
      </c>
      <c r="AS5" s="43"/>
      <c r="AT5" s="35">
        <f>K5</f>
        <v>2630.5</v>
      </c>
      <c r="AU5" s="35">
        <f>K5</f>
        <v>2630.5</v>
      </c>
      <c r="AV5" s="35">
        <f>K5</f>
        <v>2630.5</v>
      </c>
      <c r="AW5" s="251">
        <f>SUM(AT5:AV5)</f>
        <v>7891.5</v>
      </c>
      <c r="AX5" s="43"/>
      <c r="AY5" s="35">
        <f>L5</f>
        <v>2862.0250000000001</v>
      </c>
      <c r="AZ5" s="35">
        <f>L5</f>
        <v>2862.0250000000001</v>
      </c>
      <c r="BA5" s="35">
        <f>L5</f>
        <v>2862.0250000000001</v>
      </c>
      <c r="BB5" s="251">
        <f>SUM(AY5:BA5)</f>
        <v>8586.0750000000007</v>
      </c>
      <c r="BC5" s="43"/>
      <c r="BD5" s="35">
        <f>M5</f>
        <v>3105.1262500000003</v>
      </c>
      <c r="BE5" s="35">
        <f>M5</f>
        <v>3105.1262500000003</v>
      </c>
      <c r="BF5" s="35">
        <f>M5</f>
        <v>3105.1262500000003</v>
      </c>
      <c r="BG5" s="251">
        <f>SUM(BD5:BF5)</f>
        <v>9315.3787499999999</v>
      </c>
      <c r="BH5" s="43"/>
      <c r="BI5" s="35">
        <f>N5</f>
        <v>3360.3825625000004</v>
      </c>
      <c r="BJ5" s="35">
        <f>N5</f>
        <v>3360.3825625000004</v>
      </c>
      <c r="BK5" s="35">
        <f>N5</f>
        <v>3360.3825625000004</v>
      </c>
      <c r="BL5" s="251">
        <f>SUM(BI5:BK5)</f>
        <v>10081.147687500001</v>
      </c>
      <c r="BM5" s="43"/>
      <c r="BN5" s="35">
        <f>P5</f>
        <v>3628.4016906250004</v>
      </c>
      <c r="BO5" s="35">
        <f>P5</f>
        <v>3628.4016906250004</v>
      </c>
      <c r="BP5" s="35">
        <f>P5</f>
        <v>3628.4016906250004</v>
      </c>
      <c r="BQ5" s="251">
        <f>SUM(BN5:BP5)</f>
        <v>10885.205071875002</v>
      </c>
      <c r="BR5" s="43"/>
      <c r="BS5" s="35">
        <f>Q5</f>
        <v>3909.8217751562506</v>
      </c>
      <c r="BT5" s="35">
        <f>Q5</f>
        <v>3909.8217751562506</v>
      </c>
      <c r="BU5" s="35">
        <f>Q5</f>
        <v>3909.8217751562506</v>
      </c>
      <c r="BV5" s="251">
        <f>SUM(BS5:BU5)</f>
        <v>11729.465325468751</v>
      </c>
      <c r="BW5" s="43"/>
      <c r="BX5" s="35">
        <f>R5</f>
        <v>4205.3128639140632</v>
      </c>
      <c r="BY5" s="35">
        <f>R5</f>
        <v>4205.3128639140632</v>
      </c>
      <c r="BZ5" s="35">
        <f>R5</f>
        <v>4205.3128639140632</v>
      </c>
      <c r="CA5" s="251">
        <f>SUM(BX5:BZ5)</f>
        <v>12615.93859174219</v>
      </c>
      <c r="CB5" s="43"/>
      <c r="CC5" s="35">
        <f>S5</f>
        <v>4515.5785071097662</v>
      </c>
      <c r="CD5" s="35">
        <f>S5</f>
        <v>4515.5785071097662</v>
      </c>
      <c r="CE5" s="35">
        <f>S5</f>
        <v>4515.5785071097662</v>
      </c>
      <c r="CF5" s="251">
        <f>SUM(CC5:CE5)</f>
        <v>13546.735521329298</v>
      </c>
      <c r="CG5" s="109"/>
    </row>
    <row r="6" spans="1:175" s="9" customFormat="1" ht="9.75" customHeight="1" x14ac:dyDescent="0.15">
      <c r="A6" s="484" t="s">
        <v>177</v>
      </c>
      <c r="B6" s="250">
        <v>100</v>
      </c>
      <c r="C6" s="269">
        <v>0.01</v>
      </c>
      <c r="D6" s="125"/>
      <c r="E6" s="117"/>
      <c r="F6" s="125">
        <v>0</v>
      </c>
      <c r="G6" s="127">
        <v>100</v>
      </c>
      <c r="H6" s="35">
        <f>SUM(IF(ISBLANK(D6),B6,D6)+(G18*(IF(ISBLANK(E6),C6,E6))))</f>
        <v>148.33833617049763</v>
      </c>
      <c r="I6" s="35">
        <f>SUM(IF(ISBLANK(D6),B6,D6)+(H18*(IF(ISBLANK(E6),C6,E6))))</f>
        <v>184.8370063860954</v>
      </c>
      <c r="J6" s="251">
        <f>SUM(F6+G6+H6+I6)*3</f>
        <v>1299.5260276697791</v>
      </c>
      <c r="K6" s="35">
        <f>SUM(IF(ISBLANK(D6),B6,D6)+(I18*(IF(ISBLANK(E6),C6,E6))))</f>
        <v>208.65521167239922</v>
      </c>
      <c r="L6" s="35">
        <f>SUM(IF(ISBLANK(D6),B6,D6)+(K18*(IF(ISBLANK(E6),C6,E6))))</f>
        <v>233.67396546158145</v>
      </c>
      <c r="M6" s="35">
        <f>SUM(IF(ISBLANK(D6),B6,D6)+(L18*(IF(ISBLANK(E6),C6,E6))))</f>
        <v>255.27701315460178</v>
      </c>
      <c r="N6" s="35">
        <f>SUM(IF(ISBLANK(D6),B6,D6)+(M18*(IF(ISBLANK(E6),C6,E6))))</f>
        <v>275.4158288520793</v>
      </c>
      <c r="O6" s="251">
        <f>SUM(K6+L6+M6+N6)*3</f>
        <v>2919.0660574219855</v>
      </c>
      <c r="P6" s="35">
        <f>SUM(IF(ISBLANK(D6),B6,D6)+(N18*(IF(ISBLANK(E6),C6,E6))))</f>
        <v>295.24335023017341</v>
      </c>
      <c r="Q6" s="35">
        <f>SUM(IF(ISBLANK(D6),B6,D6)+(P18*(IF(ISBLANK(E6),C6,E6))))</f>
        <v>317.51840816517108</v>
      </c>
      <c r="R6" s="35">
        <f>SUM(IF(ISBLANK(D6),B6,D6)+(Q18*(IF(ISBLANK(E6),C6,E6))))</f>
        <v>342.37375087590402</v>
      </c>
      <c r="S6" s="35">
        <f>SUM(IF(ISBLANK(D6),B6,D6)+(R18*(IF(ISBLANK(E6),C6,E6))))</f>
        <v>370.03272753055006</v>
      </c>
      <c r="T6" s="315">
        <f>SUM(P6+Q6+R6+S6)*3</f>
        <v>3975.5047104053961</v>
      </c>
      <c r="U6" s="250">
        <f>SUM(IF(ISBLANK(D6),B6,D6)+(S18*(IF(ISBLANK(E6),C6,E6))))*12</f>
        <v>4809.4773091172638</v>
      </c>
      <c r="V6" s="251">
        <f>SUM(IF(ISBLANK(D6),B6,D6)+(U18*(IF(ISBLANK(E6),C6,E6))))*12</f>
        <v>12190.421435116166</v>
      </c>
      <c r="W6" s="252">
        <f>SUM(IF(ISBLANK(D6),B6,D6)+(V18*(IF(ISBLANK(E6),C6,E6))))*12</f>
        <v>18973.402474938041</v>
      </c>
      <c r="X6" s="173"/>
      <c r="Y6" s="490">
        <v>0</v>
      </c>
      <c r="Z6" s="35">
        <f t="shared" si="0"/>
        <v>0</v>
      </c>
      <c r="AA6" s="35">
        <f t="shared" si="1"/>
        <v>0</v>
      </c>
      <c r="AB6" s="35">
        <f t="shared" si="2"/>
        <v>0</v>
      </c>
      <c r="AC6" s="251">
        <f t="shared" ref="AC6:AC17" si="9">SUM(Z6:AB6)</f>
        <v>0</v>
      </c>
      <c r="AD6" s="43"/>
      <c r="AE6" s="35">
        <f t="shared" si="3"/>
        <v>100</v>
      </c>
      <c r="AF6" s="35">
        <f t="shared" si="4"/>
        <v>100</v>
      </c>
      <c r="AG6" s="35">
        <f t="shared" si="5"/>
        <v>100</v>
      </c>
      <c r="AH6" s="251">
        <f t="shared" ref="AH6:AH17" si="10">SUM(AE6:AG6)</f>
        <v>300</v>
      </c>
      <c r="AI6" s="43"/>
      <c r="AJ6" s="35">
        <f t="shared" si="6"/>
        <v>148.33833617049763</v>
      </c>
      <c r="AK6" s="35">
        <f t="shared" si="7"/>
        <v>148.33833617049763</v>
      </c>
      <c r="AL6" s="35">
        <f t="shared" si="8"/>
        <v>148.33833617049763</v>
      </c>
      <c r="AM6" s="251">
        <f t="shared" ref="AM6:AM17" si="11">SUM(AJ6:AL6)</f>
        <v>445.01500851149285</v>
      </c>
      <c r="AN6" s="43"/>
      <c r="AO6" s="35">
        <f t="shared" ref="AO6:AO7" si="12">I6</f>
        <v>184.8370063860954</v>
      </c>
      <c r="AP6" s="35">
        <f t="shared" ref="AP6:AP7" si="13">I6</f>
        <v>184.8370063860954</v>
      </c>
      <c r="AQ6" s="35">
        <f t="shared" ref="AQ6:AQ7" si="14">I6</f>
        <v>184.8370063860954</v>
      </c>
      <c r="AR6" s="251">
        <f t="shared" ref="AR6:AR17" si="15">SUM(AO6:AQ6)</f>
        <v>554.51101915828622</v>
      </c>
      <c r="AS6" s="43"/>
      <c r="AT6" s="35">
        <f t="shared" ref="AT6:AT7" si="16">K6</f>
        <v>208.65521167239922</v>
      </c>
      <c r="AU6" s="35">
        <f t="shared" ref="AU6:AU7" si="17">K6</f>
        <v>208.65521167239922</v>
      </c>
      <c r="AV6" s="35">
        <f t="shared" ref="AV6:AV7" si="18">K6</f>
        <v>208.65521167239922</v>
      </c>
      <c r="AW6" s="251">
        <f t="shared" ref="AW6:AW17" si="19">SUM(AT6:AV6)</f>
        <v>625.96563501719766</v>
      </c>
      <c r="AX6" s="43"/>
      <c r="AY6" s="35">
        <f t="shared" ref="AY6:AY7" si="20">L6</f>
        <v>233.67396546158145</v>
      </c>
      <c r="AZ6" s="35">
        <f t="shared" ref="AZ6:AZ7" si="21">L6</f>
        <v>233.67396546158145</v>
      </c>
      <c r="BA6" s="35">
        <f t="shared" ref="BA6:BA7" si="22">L6</f>
        <v>233.67396546158145</v>
      </c>
      <c r="BB6" s="251">
        <f t="shared" ref="BB6:BB17" si="23">SUM(AY6:BA6)</f>
        <v>701.02189638474431</v>
      </c>
      <c r="BC6" s="43"/>
      <c r="BD6" s="35">
        <f t="shared" ref="BD6:BD7" si="24">M6</f>
        <v>255.27701315460178</v>
      </c>
      <c r="BE6" s="35">
        <f t="shared" ref="BE6:BE7" si="25">M6</f>
        <v>255.27701315460178</v>
      </c>
      <c r="BF6" s="35">
        <f t="shared" ref="BF6:BF7" si="26">M6</f>
        <v>255.27701315460178</v>
      </c>
      <c r="BG6" s="251">
        <f t="shared" ref="BG6:BG17" si="27">SUM(BD6:BF6)</f>
        <v>765.83103946380538</v>
      </c>
      <c r="BH6" s="43"/>
      <c r="BI6" s="35">
        <f t="shared" ref="BI6:BI7" si="28">N6</f>
        <v>275.4158288520793</v>
      </c>
      <c r="BJ6" s="35">
        <f t="shared" ref="BJ6" si="29">N6</f>
        <v>275.4158288520793</v>
      </c>
      <c r="BK6" s="35">
        <f t="shared" ref="BK6:BK7" si="30">N6</f>
        <v>275.4158288520793</v>
      </c>
      <c r="BL6" s="251">
        <f t="shared" ref="BL6:BL8" si="31">SUM(BI6:BK6)</f>
        <v>826.24748655623785</v>
      </c>
      <c r="BM6" s="43"/>
      <c r="BN6" s="35">
        <f t="shared" ref="BN6:BN7" si="32">P6</f>
        <v>295.24335023017341</v>
      </c>
      <c r="BO6" s="35">
        <f t="shared" ref="BO6:BO7" si="33">P6</f>
        <v>295.24335023017341</v>
      </c>
      <c r="BP6" s="35">
        <f t="shared" ref="BP6:BP7" si="34">P6</f>
        <v>295.24335023017341</v>
      </c>
      <c r="BQ6" s="251">
        <f t="shared" ref="BQ6:BQ8" si="35">SUM(BN6:BP6)</f>
        <v>885.73005069052022</v>
      </c>
      <c r="BR6" s="43"/>
      <c r="BS6" s="35">
        <f t="shared" ref="BS6:BS7" si="36">Q6</f>
        <v>317.51840816517108</v>
      </c>
      <c r="BT6" s="35">
        <f t="shared" ref="BT6:BT7" si="37">Q6</f>
        <v>317.51840816517108</v>
      </c>
      <c r="BU6" s="35">
        <f t="shared" ref="BU6:BU7" si="38">Q6</f>
        <v>317.51840816517108</v>
      </c>
      <c r="BV6" s="251">
        <f t="shared" ref="BV6:BV8" si="39">SUM(BS6:BU6)</f>
        <v>952.55522449551324</v>
      </c>
      <c r="BW6" s="43"/>
      <c r="BX6" s="35">
        <f t="shared" ref="BX6:BX7" si="40">R6</f>
        <v>342.37375087590402</v>
      </c>
      <c r="BY6" s="35">
        <f t="shared" ref="BY6:BY7" si="41">R6</f>
        <v>342.37375087590402</v>
      </c>
      <c r="BZ6" s="35">
        <f t="shared" ref="BZ6" si="42">R6</f>
        <v>342.37375087590402</v>
      </c>
      <c r="CA6" s="251">
        <f t="shared" ref="CA6:CA7" si="43">SUM(BX6:BZ6)</f>
        <v>1027.121252627712</v>
      </c>
      <c r="CB6" s="43"/>
      <c r="CC6" s="35">
        <f t="shared" ref="CC6:CC7" si="44">S6</f>
        <v>370.03272753055006</v>
      </c>
      <c r="CD6" s="35">
        <f t="shared" ref="CD6:CD7" si="45">S6</f>
        <v>370.03272753055006</v>
      </c>
      <c r="CE6" s="35">
        <f t="shared" ref="CE6:CE7" si="46">S6</f>
        <v>370.03272753055006</v>
      </c>
      <c r="CF6" s="251">
        <f t="shared" ref="CF6:CF8" si="47">SUM(CC6:CE6)</f>
        <v>1110.0981825916501</v>
      </c>
      <c r="CG6" s="109"/>
    </row>
    <row r="7" spans="1:175" s="9" customFormat="1" ht="9.75" customHeight="1" x14ac:dyDescent="0.15">
      <c r="A7" s="51" t="s">
        <v>178</v>
      </c>
      <c r="B7" s="250">
        <v>0</v>
      </c>
      <c r="C7" s="293">
        <v>0</v>
      </c>
      <c r="D7" s="125"/>
      <c r="E7" s="117"/>
      <c r="F7" s="125">
        <v>0</v>
      </c>
      <c r="G7" s="127">
        <v>0</v>
      </c>
      <c r="H7" s="127">
        <v>0</v>
      </c>
      <c r="I7" s="127">
        <v>0</v>
      </c>
      <c r="J7" s="251">
        <f>SUM((F7+G7+H7+I7)*3)</f>
        <v>0</v>
      </c>
      <c r="K7" s="35">
        <f>SUM(IF(ISBLANK(D7),B7,D7)+(I18*(IF(ISBLANK(E7),C7,E7))))</f>
        <v>0</v>
      </c>
      <c r="L7" s="35">
        <f>SUM(IF(ISBLANK(D7),B7,D7)+(K18*(IF(ISBLANK(E7),C7,E7))))</f>
        <v>0</v>
      </c>
      <c r="M7" s="35">
        <f>SUM(IF(ISBLANK(D7),B7,D7)+(L18*(IF(ISBLANK(E7),C7,E7))))</f>
        <v>0</v>
      </c>
      <c r="N7" s="35">
        <f>SUM(IF(ISBLANK(D7),B7,D7)+(M18*(IF(ISBLANK(E7),C7,E7))))</f>
        <v>0</v>
      </c>
      <c r="O7" s="251">
        <f>SUM(K7+L7+M7+N7)*3</f>
        <v>0</v>
      </c>
      <c r="P7" s="35">
        <f>SUM(IF(ISBLANK(D7),B7,D7)+(N18*(IF(ISBLANK(E7),C7,E7))))</f>
        <v>0</v>
      </c>
      <c r="Q7" s="35">
        <f>SUM(IF(ISBLANK(D7),B7,D7)+(P18*(IF(ISBLANK(E7),C7,E7))))</f>
        <v>0</v>
      </c>
      <c r="R7" s="35">
        <f>SUM(IF(ISBLANK(D7),B7,D7)+(Q18*(IF(ISBLANK(E7),C7,E7))))</f>
        <v>0</v>
      </c>
      <c r="S7" s="35">
        <f>SUM(IF(ISBLANK(D7),B7,D7)+(R18*(IF(ISBLANK(E7),C7,E7))))</f>
        <v>0</v>
      </c>
      <c r="T7" s="315">
        <f>SUM(P7+Q7+R7+S7)*3</f>
        <v>0</v>
      </c>
      <c r="U7" s="250">
        <f>SUM(IF(ISBLANK(D7),B7,D7)+(S18*(IF(ISBLANK(E7),C7,E7))))*12</f>
        <v>0</v>
      </c>
      <c r="V7" s="251">
        <f>SUM(IF(ISBLANK(D7),B7,D7)+(U18*(IF(ISBLANK(E7),C7,E7))))*12</f>
        <v>0</v>
      </c>
      <c r="W7" s="252">
        <f>SUM(IF(ISBLANK(D7),B7,D7)+(V18*(IF(ISBLANK(E7),C7,E7))))*12</f>
        <v>0</v>
      </c>
      <c r="X7" s="173"/>
      <c r="Y7" s="490">
        <v>0</v>
      </c>
      <c r="Z7" s="35">
        <f t="shared" si="0"/>
        <v>0</v>
      </c>
      <c r="AA7" s="35">
        <f t="shared" si="1"/>
        <v>0</v>
      </c>
      <c r="AB7" s="35">
        <f t="shared" si="2"/>
        <v>0</v>
      </c>
      <c r="AC7" s="251">
        <f t="shared" si="9"/>
        <v>0</v>
      </c>
      <c r="AD7" s="43"/>
      <c r="AE7" s="35">
        <f t="shared" si="3"/>
        <v>0</v>
      </c>
      <c r="AF7" s="35">
        <f t="shared" si="4"/>
        <v>0</v>
      </c>
      <c r="AG7" s="35">
        <f t="shared" si="5"/>
        <v>0</v>
      </c>
      <c r="AH7" s="251">
        <f t="shared" si="10"/>
        <v>0</v>
      </c>
      <c r="AI7" s="43"/>
      <c r="AJ7" s="35">
        <f t="shared" si="6"/>
        <v>0</v>
      </c>
      <c r="AK7" s="35">
        <f t="shared" si="7"/>
        <v>0</v>
      </c>
      <c r="AL7" s="35">
        <f t="shared" si="8"/>
        <v>0</v>
      </c>
      <c r="AM7" s="251">
        <f t="shared" si="11"/>
        <v>0</v>
      </c>
      <c r="AN7" s="43"/>
      <c r="AO7" s="35">
        <f t="shared" si="12"/>
        <v>0</v>
      </c>
      <c r="AP7" s="35">
        <f t="shared" si="13"/>
        <v>0</v>
      </c>
      <c r="AQ7" s="35">
        <f t="shared" si="14"/>
        <v>0</v>
      </c>
      <c r="AR7" s="251">
        <f t="shared" si="15"/>
        <v>0</v>
      </c>
      <c r="AS7" s="43"/>
      <c r="AT7" s="35">
        <f t="shared" si="16"/>
        <v>0</v>
      </c>
      <c r="AU7" s="35">
        <f t="shared" si="17"/>
        <v>0</v>
      </c>
      <c r="AV7" s="35">
        <f t="shared" si="18"/>
        <v>0</v>
      </c>
      <c r="AW7" s="251">
        <f t="shared" si="19"/>
        <v>0</v>
      </c>
      <c r="AX7" s="43"/>
      <c r="AY7" s="35">
        <f t="shared" si="20"/>
        <v>0</v>
      </c>
      <c r="AZ7" s="35">
        <f t="shared" si="21"/>
        <v>0</v>
      </c>
      <c r="BA7" s="35">
        <f t="shared" si="22"/>
        <v>0</v>
      </c>
      <c r="BB7" s="251">
        <f t="shared" si="23"/>
        <v>0</v>
      </c>
      <c r="BC7" s="43"/>
      <c r="BD7" s="35">
        <f t="shared" si="24"/>
        <v>0</v>
      </c>
      <c r="BE7" s="35">
        <f t="shared" si="25"/>
        <v>0</v>
      </c>
      <c r="BF7" s="35">
        <f t="shared" si="26"/>
        <v>0</v>
      </c>
      <c r="BG7" s="251">
        <f t="shared" si="27"/>
        <v>0</v>
      </c>
      <c r="BH7" s="43"/>
      <c r="BI7" s="35">
        <f t="shared" si="28"/>
        <v>0</v>
      </c>
      <c r="BJ7" s="35">
        <f>N7</f>
        <v>0</v>
      </c>
      <c r="BK7" s="35">
        <f t="shared" si="30"/>
        <v>0</v>
      </c>
      <c r="BL7" s="251">
        <f t="shared" si="31"/>
        <v>0</v>
      </c>
      <c r="BM7" s="43"/>
      <c r="BN7" s="35">
        <f t="shared" si="32"/>
        <v>0</v>
      </c>
      <c r="BO7" s="35">
        <f t="shared" si="33"/>
        <v>0</v>
      </c>
      <c r="BP7" s="35">
        <f t="shared" si="34"/>
        <v>0</v>
      </c>
      <c r="BQ7" s="251">
        <f t="shared" si="35"/>
        <v>0</v>
      </c>
      <c r="BR7" s="43"/>
      <c r="BS7" s="35">
        <f t="shared" si="36"/>
        <v>0</v>
      </c>
      <c r="BT7" s="35">
        <f t="shared" si="37"/>
        <v>0</v>
      </c>
      <c r="BU7" s="35">
        <f t="shared" si="38"/>
        <v>0</v>
      </c>
      <c r="BV7" s="251">
        <f t="shared" si="39"/>
        <v>0</v>
      </c>
      <c r="BW7" s="43"/>
      <c r="BX7" s="35">
        <f t="shared" si="40"/>
        <v>0</v>
      </c>
      <c r="BY7" s="35">
        <f t="shared" si="41"/>
        <v>0</v>
      </c>
      <c r="BZ7" s="35">
        <f>R7</f>
        <v>0</v>
      </c>
      <c r="CA7" s="251">
        <f t="shared" si="43"/>
        <v>0</v>
      </c>
      <c r="CB7" s="43"/>
      <c r="CC7" s="35">
        <f t="shared" si="44"/>
        <v>0</v>
      </c>
      <c r="CD7" s="35">
        <f t="shared" si="45"/>
        <v>0</v>
      </c>
      <c r="CE7" s="35">
        <f t="shared" si="46"/>
        <v>0</v>
      </c>
      <c r="CF7" s="251">
        <f t="shared" si="47"/>
        <v>0</v>
      </c>
      <c r="CG7" s="109"/>
    </row>
    <row r="8" spans="1:175" s="9" customFormat="1" ht="9.75" customHeight="1" thickBot="1" x14ac:dyDescent="0.2">
      <c r="A8" s="229" t="s">
        <v>179</v>
      </c>
      <c r="B8" s="368">
        <v>100000</v>
      </c>
      <c r="C8" s="369">
        <v>500000</v>
      </c>
      <c r="D8" s="230"/>
      <c r="E8" s="231"/>
      <c r="F8" s="232">
        <f>SUM(IF(((1-(Y18/(IF(ISBLANK(D8),B8,(IF(D8=0,9.99999999999999E+29,D8))))))*SUM(F4:F7))&lt;0,0,((1-(Y18/(IF(ISBLANK(D8),B8,(IF(D8=0,9.99999999999999E+29,D8))))))*SUM(F4:F7))))</f>
        <v>1600.625</v>
      </c>
      <c r="G8" s="233">
        <f>SUM(IF(((1-(F18/(IF(ISBLANK(D8),B8,(IF(D8=0,9.99999999999999E+29,D8))))))*SUM(G4:G7))&lt;0,0,((1-(F18/(IF(ISBLANK(D8),B8,(IF(D8=0,9.99999999999999E+29,D8))))))*SUM(G4:G7))))</f>
        <v>2180.03576111149</v>
      </c>
      <c r="H8" s="233">
        <f>SUM(IF(((1-(G18/(IF(ISBLANK(D8),B8,(IF(D8=0,9.99999999999999E+29,D8))))))*SUM(H4:H7))&lt;0,0,((1-(G18/(IF(ISBLANK(D8),B8,(IF(D8=0,9.99999999999999E+29,D8))))))*SUM(H4:H7))))</f>
        <v>2234.8235682346212</v>
      </c>
      <c r="I8" s="233">
        <f>SUM(IF(((1-(H18/(IF(ISBLANK(D8),B8,(IF(D8=0,9.99999999999999E+29,D8))))))*SUM(I4:I7))&lt;0,0,((1-(H18/(IF(ISBLANK(D8),B8,(IF(D8=0,9.99999999999999E+29,D8))))))*SUM(I4:I7))))</f>
        <v>2374.6988027044413</v>
      </c>
      <c r="J8" s="255">
        <f t="shared" ref="J8" si="48">SUM(F8:I8)*3</f>
        <v>25170.549396151655</v>
      </c>
      <c r="K8" s="233">
        <f>SUM(IF(((1-(I18/(IF(ISBLANK(E8),C8,(IF(E8=0,9.99999999999999E+29,E8))))))*SUM(K4:K7))&lt;0,0,((1-(I18/(IF(ISBLANK(E8),C8,(IF(E8=0,9.99999999999999E+29,E8))))))*SUM(K4:K7))))</f>
        <v>2777.4574095733869</v>
      </c>
      <c r="L8" s="233">
        <f>SUM(IF(((1-(K18/(IF(ISBLANK(E8),C8,(IF(E8=0,9.99999999999999E+29,E8))))))*SUM(L4:L7))&lt;0,0,((1-(K18/(IF(ISBLANK(E8),C8,(IF(E8=0,9.99999999999999E+29,E8))))))*SUM(L4:L7))))</f>
        <v>3012.9360941438686</v>
      </c>
      <c r="M8" s="233">
        <f>SUM(IF(((1-(L18/(IF(ISBLANK(E8),C8,(IF(E8=0,9.99999999999999E+29,E8))))))*SUM(M4:M7))&lt;0,0,((1-(L18/(IF(ISBLANK(E8),C8,(IF(E8=0,9.99999999999999E+29,E8))))))*SUM(M4:M7))))</f>
        <v>3256.0445868150773</v>
      </c>
      <c r="N8" s="233">
        <f>SUM(IF(((1-(M18/(IF(ISBLANK(E8),C8,(IF(E8=0,9.99999999999999E+29,E8))))))*SUM(N4:N7))&lt;0,0,((1-(M18/(IF(ISBLANK(E8),C8,(IF(E8=0,9.99999999999999E+29,E8))))))*SUM(N4:N7))))</f>
        <v>3508.2430736804636</v>
      </c>
      <c r="O8" s="255">
        <f t="shared" ref="O8" si="49">SUM(K8:N8)*3</f>
        <v>37664.04349263839</v>
      </c>
      <c r="P8" s="233">
        <f>SUM(IF(((1-(N18/(IF(ISBLANK(E8),C8,(IF(E8=0,9.99999999999999E+29,E8))))))*SUM(P4:P7))&lt;0,0,((1-(N18/(IF(ISBLANK(E8),C8,(IF(E8=0,9.99999999999999E+29,E8))))))*SUM(P4:P7))))</f>
        <v>3770.4319202770598</v>
      </c>
      <c r="Q8" s="233">
        <f>SUM(IF(((1-(P18/(IF(ISBLANK(E8),C8,(IF(E8=0,9.99999999999999E+29,E8))))))*SUM(Q4:Q7))&lt;0,0,((1-(P18/(IF(ISBLANK(E8),C8,(IF(E8=0,9.99999999999999E+29,E8))))))*SUM(Q4:Q7))))</f>
        <v>4043.4353218316746</v>
      </c>
      <c r="R8" s="233">
        <f>SUM(IF(((1-(Q18/(IF(ISBLANK(E8),C8,(IF(E8=0,9.99999999999999E+29,E8))))))*SUM(R4:R7))&lt;0,0,((1-(Q18/(IF(ISBLANK(E8),C8,(IF(E8=0,9.99999999999999E+29,E8))))))*SUM(R4:R7))))</f>
        <v>4327.2386422630098</v>
      </c>
      <c r="S8" s="233">
        <f>SUM(IF(((1-(R18/(IF(ISBLANK(E8),C8,(IF(E8=0,9.99999999999999E+29,E8))))))*SUM(S4:S7))&lt;0,0,((1-(R18/(IF(ISBLANK(E8),C8,(IF(E8=0,9.99999999999999E+29,E8))))))*SUM(S4:S7))))</f>
        <v>4621.7562491715516</v>
      </c>
      <c r="T8" s="253">
        <f t="shared" ref="T8" si="50">SUM(P8:S8)*3</f>
        <v>50288.58640062988</v>
      </c>
      <c r="U8" s="254">
        <f>SUM(IF(((1-(T18/(IF(ISBLANK(E8),C8,(IF(E8=0,9.99999999999999E+29,E8))))))*SUM(U4:U7))&lt;0,0,((1-(T18/(IF(ISBLANK(E8),C8,(IF(E8=0,9.99999999999999E+29,E8))))))*SUM(U4:U7))))</f>
        <v>59121.484218872181</v>
      </c>
      <c r="V8" s="255">
        <f>SUM(IF(((1-(U18/(IF(ISBLANK(E8),C8,(IF(E8=0,9.99999999999999E+29,E8))))))*SUM(V4:V7))&lt;0,0,((1-(U18/(IF(ISBLANK(E8),C8,(IF(E8=0,9.99999999999999E+29,E8))))))*SUM(V4:V7))))</f>
        <v>59866.445945886568</v>
      </c>
      <c r="W8" s="256">
        <f>SUM(IF(((1-(V18/(IF(ISBLANK(E8),C8,(IF(E8=0,9.99999999999999E+29,E8))))))*SUM(W4:W7))&lt;0,0,((1-(V18/(IF(ISBLANK(E8),C8,(IF(E8=0,9.99999999999999E+29,E8))))))*SUM(W4:W7))))</f>
        <v>58575.019791251274</v>
      </c>
      <c r="X8" s="236"/>
      <c r="Y8" s="497">
        <f>SUM(Y4:Y7)</f>
        <v>2300</v>
      </c>
      <c r="Z8" s="233">
        <f>F8</f>
        <v>1600.625</v>
      </c>
      <c r="AA8" s="233">
        <f>F8</f>
        <v>1600.625</v>
      </c>
      <c r="AB8" s="233">
        <f>F8</f>
        <v>1600.625</v>
      </c>
      <c r="AC8" s="255">
        <f t="shared" si="9"/>
        <v>4801.875</v>
      </c>
      <c r="AD8" s="234"/>
      <c r="AE8" s="233">
        <f>G8</f>
        <v>2180.03576111149</v>
      </c>
      <c r="AF8" s="233">
        <f>G8</f>
        <v>2180.03576111149</v>
      </c>
      <c r="AG8" s="233">
        <f>G8</f>
        <v>2180.03576111149</v>
      </c>
      <c r="AH8" s="255">
        <f t="shared" si="10"/>
        <v>6540.1072833344697</v>
      </c>
      <c r="AI8" s="234"/>
      <c r="AJ8" s="233">
        <f>H8</f>
        <v>2234.8235682346212</v>
      </c>
      <c r="AK8" s="233">
        <f>H8</f>
        <v>2234.8235682346212</v>
      </c>
      <c r="AL8" s="233">
        <f>H8</f>
        <v>2234.8235682346212</v>
      </c>
      <c r="AM8" s="255">
        <f t="shared" si="11"/>
        <v>6704.4707047038637</v>
      </c>
      <c r="AN8" s="234"/>
      <c r="AO8" s="233">
        <f>I8</f>
        <v>2374.6988027044413</v>
      </c>
      <c r="AP8" s="233">
        <f>I8</f>
        <v>2374.6988027044413</v>
      </c>
      <c r="AQ8" s="233">
        <f>I8</f>
        <v>2374.6988027044413</v>
      </c>
      <c r="AR8" s="255">
        <f t="shared" si="15"/>
        <v>7124.0964081133243</v>
      </c>
      <c r="AS8" s="234"/>
      <c r="AT8" s="233">
        <f>K8</f>
        <v>2777.4574095733869</v>
      </c>
      <c r="AU8" s="233">
        <f>K8</f>
        <v>2777.4574095733869</v>
      </c>
      <c r="AV8" s="233">
        <f>K8</f>
        <v>2777.4574095733869</v>
      </c>
      <c r="AW8" s="255">
        <f t="shared" si="19"/>
        <v>8332.3722287201599</v>
      </c>
      <c r="AX8" s="234"/>
      <c r="AY8" s="233">
        <f>L8</f>
        <v>3012.9360941438686</v>
      </c>
      <c r="AZ8" s="233">
        <f>L8</f>
        <v>3012.9360941438686</v>
      </c>
      <c r="BA8" s="233">
        <f>L8</f>
        <v>3012.9360941438686</v>
      </c>
      <c r="BB8" s="255">
        <f t="shared" si="23"/>
        <v>9038.8082824316061</v>
      </c>
      <c r="BC8" s="234"/>
      <c r="BD8" s="233">
        <f>M8</f>
        <v>3256.0445868150773</v>
      </c>
      <c r="BE8" s="233">
        <f>M8</f>
        <v>3256.0445868150773</v>
      </c>
      <c r="BF8" s="233">
        <f>M8</f>
        <v>3256.0445868150773</v>
      </c>
      <c r="BG8" s="255">
        <f t="shared" si="27"/>
        <v>9768.133760445231</v>
      </c>
      <c r="BH8" s="234"/>
      <c r="BI8" s="233">
        <f>N8</f>
        <v>3508.2430736804636</v>
      </c>
      <c r="BJ8" s="233">
        <f>N8</f>
        <v>3508.2430736804636</v>
      </c>
      <c r="BK8" s="233">
        <f>N8</f>
        <v>3508.2430736804636</v>
      </c>
      <c r="BL8" s="255">
        <f t="shared" si="31"/>
        <v>10524.729221041391</v>
      </c>
      <c r="BM8" s="234"/>
      <c r="BN8" s="233">
        <f>P8</f>
        <v>3770.4319202770598</v>
      </c>
      <c r="BO8" s="233">
        <f>P8</f>
        <v>3770.4319202770598</v>
      </c>
      <c r="BP8" s="233">
        <f>P8</f>
        <v>3770.4319202770598</v>
      </c>
      <c r="BQ8" s="255">
        <f t="shared" si="35"/>
        <v>11311.295760831179</v>
      </c>
      <c r="BR8" s="234"/>
      <c r="BS8" s="233">
        <f>Q8</f>
        <v>4043.4353218316746</v>
      </c>
      <c r="BT8" s="233">
        <f>Q8</f>
        <v>4043.4353218316746</v>
      </c>
      <c r="BU8" s="233">
        <f>Q8</f>
        <v>4043.4353218316746</v>
      </c>
      <c r="BV8" s="255">
        <f t="shared" si="39"/>
        <v>12130.305965495023</v>
      </c>
      <c r="BW8" s="234"/>
      <c r="BX8" s="233">
        <f>R8</f>
        <v>4327.2386422630098</v>
      </c>
      <c r="BY8" s="233">
        <f>R8</f>
        <v>4327.2386422630098</v>
      </c>
      <c r="BZ8" s="233">
        <f>R8</f>
        <v>4327.2386422630098</v>
      </c>
      <c r="CA8" s="255">
        <f>SUM(BX8:BZ8)</f>
        <v>12981.715926789029</v>
      </c>
      <c r="CB8" s="234"/>
      <c r="CC8" s="233">
        <f>S8</f>
        <v>4621.7562491715516</v>
      </c>
      <c r="CD8" s="233">
        <f>S8</f>
        <v>4621.7562491715516</v>
      </c>
      <c r="CE8" s="233">
        <f>S8</f>
        <v>4621.7562491715516</v>
      </c>
      <c r="CF8" s="255">
        <f t="shared" si="47"/>
        <v>13865.268747514656</v>
      </c>
      <c r="CG8" s="235"/>
      <c r="CH8" s="110"/>
    </row>
    <row r="9" spans="1:175" s="10" customFormat="1" ht="9.75" customHeight="1" x14ac:dyDescent="0.15">
      <c r="A9" s="210" t="s">
        <v>180</v>
      </c>
      <c r="B9" s="365">
        <v>0.03</v>
      </c>
      <c r="C9" s="296">
        <v>-1E-3</v>
      </c>
      <c r="D9" s="211"/>
      <c r="E9" s="440"/>
      <c r="F9" s="446">
        <v>0.01</v>
      </c>
      <c r="G9" s="212">
        <v>0.03</v>
      </c>
      <c r="H9" s="213">
        <f>SUM(IF((0*(IF(ISBLANK(E9),C9,E9)))+(IF(ISBLANK(D9),B9,D9)) &lt; 0, 0, (0*(IF(ISBLANK(E9),C9,E9)))+(IF(ISBLANK(D9),B9,D9))))</f>
        <v>0.03</v>
      </c>
      <c r="I9" s="213">
        <f>SUM(IF((1*(IF(ISBLANK(E9),C9,E9)))+(IF(ISBLANK(D9),B9,D9)) &lt; 0, 0, (1*(IF(ISBLANK(E9),C9,E9)))+(IF(ISBLANK(D9),B9,D9))))</f>
        <v>2.8999999999999998E-2</v>
      </c>
      <c r="J9" s="258">
        <f>SUM(((1+F9)*(1+F9)*(1+F9)*(1+G9)*(1+G9)*(1+G9)*(1+H9)*(1+H9)*(1+H9)*(1+I9)*(1+I9)*(1+I9))-1)</f>
        <v>0.34039745281817013</v>
      </c>
      <c r="K9" s="213">
        <f>SUM(IF((2*(IF(ISBLANK(E9),C9,E9)))+(IF(ISBLANK(D9),B9,D9)) &lt; 0, 0, (2*(IF(ISBLANK(E9),C9,E9)))+(IF(ISBLANK(D9),B9,D9))))</f>
        <v>2.7999999999999997E-2</v>
      </c>
      <c r="L9" s="213">
        <f>SUM(IF((3*(IF(ISBLANK(E9),C9,E9)))+(IF(ISBLANK(D9),B9,D9)) &lt; 0, 0, (3*(IF(ISBLANK(E9),C9,E9)))+(IF(ISBLANK(D9),B9,D9))))</f>
        <v>2.7E-2</v>
      </c>
      <c r="M9" s="213">
        <f>SUM(IF((4*(IF(ISBLANK(E9),C9,E9)))+(IF(ISBLANK(D9),B9,D9)) &lt; 0, 0, (4*(IF(ISBLANK(E9),C9,E9)))+(IF(ISBLANK(D9),B9,D9))))</f>
        <v>2.5999999999999999E-2</v>
      </c>
      <c r="N9" s="213">
        <f>SUM(IF((5*(IF(ISBLANK(E9),C9,E9)))+(IF(ISBLANK(D9),B9,D9)) &lt; 0, 0, (5*(IF(ISBLANK(E9),C9,E9)))+(IF(ISBLANK(D9),B9,D9))))</f>
        <v>2.4999999999999998E-2</v>
      </c>
      <c r="O9" s="258">
        <f>SUM(((1+K9)*(1+K9)*(1+K9)*(1+L9)*(1+L9)*(1+L9)*(1+M9)*(1+M9)*(1+M9)*(1+N9)*(1+N9)*(1+N9))-1)</f>
        <v>0.36868766494787564</v>
      </c>
      <c r="P9" s="213">
        <f>SUM(IF((6*(IF(ISBLANK(E9),C9,E9)))+(IF(ISBLANK(D9),B9,D9)) &lt; 0, 0, (6*(IF(ISBLANK(E9),C9,E9)))+(IF(ISBLANK(D9),B9,D9))))</f>
        <v>2.4E-2</v>
      </c>
      <c r="Q9" s="213">
        <f>SUM(IF((7*(IF(ISBLANK(E9),C9,E9)))+(IF(ISBLANK(D9),B9,D9)) &lt; 0, 0, (7*(IF(ISBLANK(E9),C9,E9)))+(IF(ISBLANK(D9),B9,D9))))</f>
        <v>2.3E-2</v>
      </c>
      <c r="R9" s="213">
        <f>SUM(IF((8*(IF(ISBLANK(E9),C9,E9)))+(IF(ISBLANK(D9),B9,D9)) &lt; 0, 0, (8*(IF(ISBLANK(E9),C9,E9)))+(IF(ISBLANK(D9),B9,D9))))</f>
        <v>2.1999999999999999E-2</v>
      </c>
      <c r="S9" s="213">
        <f>SUM(IF((9*(IF(ISBLANK(E9),C9,E9)))+(IF(ISBLANK(D9),B9,D9)) &lt; 0, 0, (9*(IF(ISBLANK(E9),C9,E9)))+(IF(ISBLANK(D9),B9,D9))))</f>
        <v>2.0999999999999998E-2</v>
      </c>
      <c r="T9" s="259">
        <f>SUM(((1+P9)*(1+P9)*(1+P9)*(1+Q9)*(1+Q9)*(1+Q9)*(1+R9)*(1+R9)*(1+R9)*(1+S9)*(1+S9)*(1+S9))-1)</f>
        <v>0.30604062088628847</v>
      </c>
      <c r="U9" s="459">
        <f>SUM(IF((12*(IF(ISBLANK(E9),C9,E9)))+(IF(ISBLANK(D9),B9,D9)) &lt; 0, 0, (12*(IF(ISBLANK(E9),C9,E9)))+(IF(ISBLANK(D9),B9,D9))))*12</f>
        <v>0.21599999999999997</v>
      </c>
      <c r="V9" s="258">
        <f>SUM(IF((15*(IF(ISBLANK(E9),C9,E9)))+(IF(ISBLANK(D9),B9,D9)) &lt; 0, 0, (15*(IF(ISBLANK(E9),C9,E9)))+(IF(ISBLANK(D9),B9,D9))))*12</f>
        <v>0.18</v>
      </c>
      <c r="W9" s="259">
        <f>SUM(IF((18*(IF(ISBLANK(E9),C9,E9)))+(IF(ISBLANK(D9),B9,D9)) &lt; 0, 0, (18*(IF(ISBLANK(E9),C9,E9)))+(IF(ISBLANK(D9),B9,D9))))*12</f>
        <v>0.14399999999999996</v>
      </c>
      <c r="X9" s="216"/>
      <c r="Y9" s="498">
        <v>0</v>
      </c>
      <c r="Z9" s="213">
        <f>F9</f>
        <v>0.01</v>
      </c>
      <c r="AA9" s="213">
        <f>F9</f>
        <v>0.01</v>
      </c>
      <c r="AB9" s="213">
        <f>F9</f>
        <v>0.01</v>
      </c>
      <c r="AC9" s="258">
        <f t="shared" si="9"/>
        <v>0.03</v>
      </c>
      <c r="AD9" s="214"/>
      <c r="AE9" s="213">
        <f>G9</f>
        <v>0.03</v>
      </c>
      <c r="AF9" s="213">
        <f>G9</f>
        <v>0.03</v>
      </c>
      <c r="AG9" s="213">
        <f>G9</f>
        <v>0.03</v>
      </c>
      <c r="AH9" s="258">
        <f t="shared" si="10"/>
        <v>0.09</v>
      </c>
      <c r="AI9" s="214"/>
      <c r="AJ9" s="213">
        <f>H9</f>
        <v>0.03</v>
      </c>
      <c r="AK9" s="213">
        <f>H9</f>
        <v>0.03</v>
      </c>
      <c r="AL9" s="213">
        <f>H9</f>
        <v>0.03</v>
      </c>
      <c r="AM9" s="258">
        <f t="shared" si="11"/>
        <v>0.09</v>
      </c>
      <c r="AN9" s="214"/>
      <c r="AO9" s="213">
        <f>I9</f>
        <v>2.8999999999999998E-2</v>
      </c>
      <c r="AP9" s="213">
        <f>I9</f>
        <v>2.8999999999999998E-2</v>
      </c>
      <c r="AQ9" s="213">
        <f>I9</f>
        <v>2.8999999999999998E-2</v>
      </c>
      <c r="AR9" s="258">
        <f t="shared" si="15"/>
        <v>8.6999999999999994E-2</v>
      </c>
      <c r="AS9" s="214"/>
      <c r="AT9" s="213">
        <f>K9</f>
        <v>2.7999999999999997E-2</v>
      </c>
      <c r="AU9" s="213">
        <f>K9</f>
        <v>2.7999999999999997E-2</v>
      </c>
      <c r="AV9" s="213">
        <f>K9</f>
        <v>2.7999999999999997E-2</v>
      </c>
      <c r="AW9" s="258">
        <f t="shared" si="19"/>
        <v>8.3999999999999991E-2</v>
      </c>
      <c r="AX9" s="214"/>
      <c r="AY9" s="213">
        <f>L9</f>
        <v>2.7E-2</v>
      </c>
      <c r="AZ9" s="213">
        <f>L9</f>
        <v>2.7E-2</v>
      </c>
      <c r="BA9" s="213">
        <f>L9</f>
        <v>2.7E-2</v>
      </c>
      <c r="BB9" s="258">
        <f t="shared" si="23"/>
        <v>8.1000000000000003E-2</v>
      </c>
      <c r="BC9" s="214"/>
      <c r="BD9" s="213">
        <f>M9</f>
        <v>2.5999999999999999E-2</v>
      </c>
      <c r="BE9" s="213">
        <f>M9</f>
        <v>2.5999999999999999E-2</v>
      </c>
      <c r="BF9" s="213">
        <f>M9</f>
        <v>2.5999999999999999E-2</v>
      </c>
      <c r="BG9" s="258">
        <f t="shared" si="27"/>
        <v>7.8E-2</v>
      </c>
      <c r="BH9" s="214"/>
      <c r="BI9" s="213">
        <f>N9</f>
        <v>2.4999999999999998E-2</v>
      </c>
      <c r="BJ9" s="213">
        <f>N9</f>
        <v>2.4999999999999998E-2</v>
      </c>
      <c r="BK9" s="213">
        <f>N9</f>
        <v>2.4999999999999998E-2</v>
      </c>
      <c r="BL9" s="258">
        <f t="shared" ref="BL9:BL15" si="51">SUM((BI9+BJ9+BK9))</f>
        <v>7.4999999999999997E-2</v>
      </c>
      <c r="BM9" s="214"/>
      <c r="BN9" s="213">
        <f>P9</f>
        <v>2.4E-2</v>
      </c>
      <c r="BO9" s="213">
        <f>P9</f>
        <v>2.4E-2</v>
      </c>
      <c r="BP9" s="213">
        <f>P9</f>
        <v>2.4E-2</v>
      </c>
      <c r="BQ9" s="258">
        <f t="shared" ref="BQ9:BQ15" si="52">SUM((BN9+BO9+BP9))</f>
        <v>7.2000000000000008E-2</v>
      </c>
      <c r="BR9" s="214"/>
      <c r="BS9" s="213">
        <f>Q9</f>
        <v>2.3E-2</v>
      </c>
      <c r="BT9" s="213">
        <f>Q9</f>
        <v>2.3E-2</v>
      </c>
      <c r="BU9" s="213">
        <f>Q9</f>
        <v>2.3E-2</v>
      </c>
      <c r="BV9" s="258">
        <f t="shared" ref="BV9:BV15" si="53">SUM((BS9+BT9+BU9))</f>
        <v>6.9000000000000006E-2</v>
      </c>
      <c r="BW9" s="214"/>
      <c r="BX9" s="213">
        <f>R9</f>
        <v>2.1999999999999999E-2</v>
      </c>
      <c r="BY9" s="213">
        <f>R9</f>
        <v>2.1999999999999999E-2</v>
      </c>
      <c r="BZ9" s="213">
        <f>R9</f>
        <v>2.1999999999999999E-2</v>
      </c>
      <c r="CA9" s="258">
        <f t="shared" ref="CA9:CA16" si="54">SUM((BX9+BY9+BZ9))</f>
        <v>6.6000000000000003E-2</v>
      </c>
      <c r="CB9" s="214"/>
      <c r="CC9" s="213">
        <f>S9</f>
        <v>2.0999999999999998E-2</v>
      </c>
      <c r="CD9" s="213">
        <f>S9</f>
        <v>2.0999999999999998E-2</v>
      </c>
      <c r="CE9" s="213">
        <f>S9</f>
        <v>2.0999999999999998E-2</v>
      </c>
      <c r="CF9" s="258">
        <f t="shared" ref="CF9:CF16" si="55">SUM((CC9+CD9+CE9))</f>
        <v>6.3E-2</v>
      </c>
      <c r="CG9" s="215"/>
    </row>
    <row r="10" spans="1:175" s="10" customFormat="1" ht="9.75" customHeight="1" x14ac:dyDescent="0.15">
      <c r="A10" s="482" t="s">
        <v>181</v>
      </c>
      <c r="B10" s="270">
        <v>0.03</v>
      </c>
      <c r="C10" s="293">
        <v>-2E-3</v>
      </c>
      <c r="D10" s="194"/>
      <c r="E10" s="441"/>
      <c r="F10" s="118">
        <v>0</v>
      </c>
      <c r="G10" s="126">
        <v>0.02</v>
      </c>
      <c r="H10" s="112">
        <f t="shared" ref="H10:H13" si="56">SUM(IF((0*(IF(ISBLANK(E10),C10,E10)))+(IF(ISBLANK(D10),B10,D10)) &lt; 0, 0, (0*(IF(ISBLANK(E10),C10,E10)))+(IF(ISBLANK(D10),B10,D10))))</f>
        <v>0.03</v>
      </c>
      <c r="I10" s="112">
        <f t="shared" ref="I10:I13" si="57">SUM(IF((1*(IF(ISBLANK(E10),C10,E10)))+(IF(ISBLANK(D10),B10,D10)) &lt; 0, 0, (1*(IF(ISBLANK(E10),C10,E10)))+(IF(ISBLANK(D10),B10,D10))))</f>
        <v>2.7999999999999997E-2</v>
      </c>
      <c r="J10" s="261">
        <f t="shared" ref="J10:J15" si="58">SUM(((1+F10)*(1+F10)*(1+F10)*(1+G10)*(1+G10)*(1+G10)*(1+H10)*(1+H10)*(1+H10)*(1+I10)*(1+I10)*(1+I10))-1)</f>
        <v>0.25977078747446236</v>
      </c>
      <c r="K10" s="112">
        <f t="shared" ref="K10:K13" si="59">SUM(IF((2*(IF(ISBLANK(E10),C10,E10)))+(IF(ISBLANK(D10),B10,D10)) &lt; 0, 0, (2*(IF(ISBLANK(E10),C10,E10)))+(IF(ISBLANK(D10),B10,D10))))</f>
        <v>2.5999999999999999E-2</v>
      </c>
      <c r="L10" s="112">
        <f t="shared" ref="L10:L13" si="60">SUM(IF((3*(IF(ISBLANK(E10),C10,E10)))+(IF(ISBLANK(D10),B10,D10)) &lt; 0, 0, (3*(IF(ISBLANK(E10),C10,E10)))+(IF(ISBLANK(D10),B10,D10))))</f>
        <v>2.4E-2</v>
      </c>
      <c r="M10" s="112">
        <f t="shared" ref="M10:M13" si="61">SUM(IF((4*(IF(ISBLANK(E10),C10,E10)))+(IF(ISBLANK(D10),B10,D10)) &lt; 0, 0, (4*(IF(ISBLANK(E10),C10,E10)))+(IF(ISBLANK(D10),B10,D10))))</f>
        <v>2.1999999999999999E-2</v>
      </c>
      <c r="N10" s="112">
        <f t="shared" ref="N10:N13" si="62">SUM(IF((5*(IF(ISBLANK(E10),C10,E10)))+(IF(ISBLANK(D10),B10,D10)) &lt; 0, 0, (5*(IF(ISBLANK(E10),C10,E10)))+(IF(ISBLANK(D10),B10,D10))))</f>
        <v>1.9999999999999997E-2</v>
      </c>
      <c r="O10" s="261">
        <f t="shared" ref="O10:O15" si="63">SUM(((1+K10)*(1+K10)*(1+K10)*(1+L10)*(1+L10)*(1+L10)*(1+M10)*(1+M10)*(1+M10)*(1+N10)*(1+N10)*(1+N10))-1)</f>
        <v>0.31369683902803924</v>
      </c>
      <c r="P10" s="112">
        <f t="shared" ref="P10:P13" si="64">SUM(IF((6*(IF(ISBLANK(E10),C10,E10)))+(IF(ISBLANK(D10),B10,D10)) &lt; 0, 0, (6*(IF(ISBLANK(E10),C10,E10)))+(IF(ISBLANK(D10),B10,D10))))</f>
        <v>1.7999999999999999E-2</v>
      </c>
      <c r="Q10" s="112">
        <f t="shared" ref="Q10:Q13" si="65">SUM(IF((7*(IF(ISBLANK(E10),C10,E10)))+(IF(ISBLANK(D10),B10,D10)) &lt; 0, 0, (7*(IF(ISBLANK(E10),C10,E10)))+(IF(ISBLANK(D10),B10,D10))))</f>
        <v>1.6E-2</v>
      </c>
      <c r="R10" s="112">
        <f t="shared" ref="R10:R13" si="66">SUM(IF((8*(IF(ISBLANK(E10),C10,E10)))+(IF(ISBLANK(D10),B10,D10)) &lt; 0, 0, (8*(IF(ISBLANK(E10),C10,E10)))+(IF(ISBLANK(D10),B10,D10))))</f>
        <v>1.3999999999999999E-2</v>
      </c>
      <c r="S10" s="112">
        <f t="shared" ref="S10:S13" si="67">SUM(IF((9*(IF(ISBLANK(E10),C10,E10)))+(IF(ISBLANK(D10),B10,D10)) &lt; 0, 0, (9*(IF(ISBLANK(E10),C10,E10)))+(IF(ISBLANK(D10),B10,D10))))</f>
        <v>1.1999999999999997E-2</v>
      </c>
      <c r="T10" s="262">
        <f t="shared" ref="T10:T15" si="68">SUM(((1+P10)*(1+P10)*(1+P10)*(1+Q10)*(1+Q10)*(1+Q10)*(1+R10)*(1+R10)*(1+R10)*(1+S10)*(1+S10)*(1+S10))-1)</f>
        <v>0.19558335560514584</v>
      </c>
      <c r="U10" s="460">
        <f>SUM(IF((12*(IF(ISBLANK(E10),C10,E10)))+(IF(ISBLANK(D10),B10,D10)) &lt; 0, 0, (12*(IF(ISBLANK(E10),C10,E10)))+(IF(ISBLANK(D10),B10,D10))))*12</f>
        <v>7.1999999999999981E-2</v>
      </c>
      <c r="V10" s="261">
        <f>SUM(IF((15*(IF(ISBLANK(E10),C10,E10)))+(IF(ISBLANK(D10),B10,D10)) &lt; 0, 0, (15*(IF(ISBLANK(E10),C10,E10)))+(IF(ISBLANK(D10),B10,D10))))*12</f>
        <v>0</v>
      </c>
      <c r="W10" s="262">
        <f>SUM(IF((18*(IF(ISBLANK(E10),C10,E10)))+(IF(ISBLANK(D10),B10,D10)) &lt; 0, 0, (18*(IF(ISBLANK(E10),C10,E10)))+(IF(ISBLANK(D10),B10,D10))))*12</f>
        <v>0</v>
      </c>
      <c r="X10" s="174"/>
      <c r="Y10" s="499">
        <v>0</v>
      </c>
      <c r="Z10" s="112">
        <f t="shared" ref="Z10:Z13" si="69">F10</f>
        <v>0</v>
      </c>
      <c r="AA10" s="112">
        <f t="shared" ref="AA10:AA13" si="70">F10</f>
        <v>0</v>
      </c>
      <c r="AB10" s="112">
        <f t="shared" ref="AB10:AB13" si="71">F10</f>
        <v>0</v>
      </c>
      <c r="AC10" s="261">
        <f t="shared" si="9"/>
        <v>0</v>
      </c>
      <c r="AD10" s="114"/>
      <c r="AE10" s="112">
        <f t="shared" ref="AE10:AE13" si="72">G10</f>
        <v>0.02</v>
      </c>
      <c r="AF10" s="112">
        <f t="shared" ref="AF10:AF13" si="73">G10</f>
        <v>0.02</v>
      </c>
      <c r="AG10" s="112">
        <f t="shared" ref="AG10:AG13" si="74">G10</f>
        <v>0.02</v>
      </c>
      <c r="AH10" s="261">
        <f t="shared" si="10"/>
        <v>0.06</v>
      </c>
      <c r="AI10" s="114"/>
      <c r="AJ10" s="112">
        <f t="shared" ref="AJ10:AJ13" si="75">H10</f>
        <v>0.03</v>
      </c>
      <c r="AK10" s="112">
        <f t="shared" ref="AK10:AK13" si="76">H10</f>
        <v>0.03</v>
      </c>
      <c r="AL10" s="112">
        <f t="shared" ref="AL10:AL13" si="77">H10</f>
        <v>0.03</v>
      </c>
      <c r="AM10" s="261">
        <f t="shared" si="11"/>
        <v>0.09</v>
      </c>
      <c r="AN10" s="114"/>
      <c r="AO10" s="112">
        <f t="shared" ref="AO10:AO13" si="78">I10</f>
        <v>2.7999999999999997E-2</v>
      </c>
      <c r="AP10" s="112">
        <f t="shared" ref="AP10:AP13" si="79">I10</f>
        <v>2.7999999999999997E-2</v>
      </c>
      <c r="AQ10" s="112">
        <f t="shared" ref="AQ10:AQ13" si="80">I10</f>
        <v>2.7999999999999997E-2</v>
      </c>
      <c r="AR10" s="261">
        <f t="shared" si="15"/>
        <v>8.3999999999999991E-2</v>
      </c>
      <c r="AS10" s="114"/>
      <c r="AT10" s="112">
        <f t="shared" ref="AT10:AT13" si="81">K10</f>
        <v>2.5999999999999999E-2</v>
      </c>
      <c r="AU10" s="112">
        <f t="shared" ref="AU10:AU13" si="82">K10</f>
        <v>2.5999999999999999E-2</v>
      </c>
      <c r="AV10" s="112">
        <f t="shared" ref="AV10:AV13" si="83">K10</f>
        <v>2.5999999999999999E-2</v>
      </c>
      <c r="AW10" s="261">
        <f t="shared" si="19"/>
        <v>7.8E-2</v>
      </c>
      <c r="AX10" s="114"/>
      <c r="AY10" s="112">
        <f t="shared" ref="AY10:AY13" si="84">L10</f>
        <v>2.4E-2</v>
      </c>
      <c r="AZ10" s="112">
        <f t="shared" ref="AZ10:AZ13" si="85">L10</f>
        <v>2.4E-2</v>
      </c>
      <c r="BA10" s="112">
        <f t="shared" ref="BA10:BA13" si="86">L10</f>
        <v>2.4E-2</v>
      </c>
      <c r="BB10" s="261">
        <f t="shared" si="23"/>
        <v>7.2000000000000008E-2</v>
      </c>
      <c r="BC10" s="114"/>
      <c r="BD10" s="112">
        <f t="shared" ref="BD10:BD13" si="87">M10</f>
        <v>2.1999999999999999E-2</v>
      </c>
      <c r="BE10" s="112">
        <f t="shared" ref="BE10:BE13" si="88">M10</f>
        <v>2.1999999999999999E-2</v>
      </c>
      <c r="BF10" s="112">
        <f t="shared" ref="BF10:BF13" si="89">M10</f>
        <v>2.1999999999999999E-2</v>
      </c>
      <c r="BG10" s="261">
        <f t="shared" si="27"/>
        <v>6.6000000000000003E-2</v>
      </c>
      <c r="BH10" s="114"/>
      <c r="BI10" s="112">
        <f t="shared" ref="BI10:BI13" si="90">N10</f>
        <v>1.9999999999999997E-2</v>
      </c>
      <c r="BJ10" s="112">
        <f t="shared" ref="BJ10:BJ13" si="91">N10</f>
        <v>1.9999999999999997E-2</v>
      </c>
      <c r="BK10" s="112">
        <f t="shared" ref="BK10:BK13" si="92">N10</f>
        <v>1.9999999999999997E-2</v>
      </c>
      <c r="BL10" s="261">
        <f t="shared" si="51"/>
        <v>5.9999999999999991E-2</v>
      </c>
      <c r="BM10" s="114"/>
      <c r="BN10" s="112">
        <f t="shared" ref="BN10:BN13" si="93">P10</f>
        <v>1.7999999999999999E-2</v>
      </c>
      <c r="BO10" s="112">
        <f t="shared" ref="BO10:BO13" si="94">P10</f>
        <v>1.7999999999999999E-2</v>
      </c>
      <c r="BP10" s="112">
        <f t="shared" ref="BP10:BP13" si="95">P10</f>
        <v>1.7999999999999999E-2</v>
      </c>
      <c r="BQ10" s="261">
        <f t="shared" si="52"/>
        <v>5.3999999999999992E-2</v>
      </c>
      <c r="BR10" s="114"/>
      <c r="BS10" s="112">
        <f t="shared" ref="BS10:BS13" si="96">Q10</f>
        <v>1.6E-2</v>
      </c>
      <c r="BT10" s="112">
        <f t="shared" ref="BT10:BT13" si="97">Q10</f>
        <v>1.6E-2</v>
      </c>
      <c r="BU10" s="112">
        <f t="shared" ref="BU10:BU13" si="98">Q10</f>
        <v>1.6E-2</v>
      </c>
      <c r="BV10" s="261">
        <f t="shared" si="53"/>
        <v>4.8000000000000001E-2</v>
      </c>
      <c r="BW10" s="114"/>
      <c r="BX10" s="112">
        <f t="shared" ref="BX10:BX13" si="99">R10</f>
        <v>1.3999999999999999E-2</v>
      </c>
      <c r="BY10" s="112">
        <f t="shared" ref="BY10:BY13" si="100">R10</f>
        <v>1.3999999999999999E-2</v>
      </c>
      <c r="BZ10" s="112">
        <f t="shared" ref="BZ10:BZ13" si="101">R10</f>
        <v>1.3999999999999999E-2</v>
      </c>
      <c r="CA10" s="261">
        <f t="shared" si="54"/>
        <v>4.1999999999999996E-2</v>
      </c>
      <c r="CB10" s="114"/>
      <c r="CC10" s="112">
        <f t="shared" ref="CC10:CC13" si="102">S10</f>
        <v>1.1999999999999997E-2</v>
      </c>
      <c r="CD10" s="112">
        <f t="shared" ref="CD10:CD13" si="103">S10</f>
        <v>1.1999999999999997E-2</v>
      </c>
      <c r="CE10" s="112">
        <f t="shared" ref="CE10:CE13" si="104">S10</f>
        <v>1.1999999999999997E-2</v>
      </c>
      <c r="CF10" s="261">
        <f t="shared" si="55"/>
        <v>3.599999999999999E-2</v>
      </c>
      <c r="CG10" s="113"/>
    </row>
    <row r="11" spans="1:175" s="10" customFormat="1" ht="9.75" customHeight="1" x14ac:dyDescent="0.15">
      <c r="A11" s="482" t="s">
        <v>183</v>
      </c>
      <c r="B11" s="270">
        <v>0.02</v>
      </c>
      <c r="C11" s="293">
        <v>-4.0000000000000001E-3</v>
      </c>
      <c r="D11" s="194"/>
      <c r="E11" s="441"/>
      <c r="F11" s="118">
        <v>0</v>
      </c>
      <c r="G11" s="126">
        <v>0.02</v>
      </c>
      <c r="H11" s="112">
        <f t="shared" si="56"/>
        <v>0.02</v>
      </c>
      <c r="I11" s="112">
        <f t="shared" si="57"/>
        <v>1.6E-2</v>
      </c>
      <c r="J11" s="261">
        <f t="shared" si="58"/>
        <v>0.18108772088793623</v>
      </c>
      <c r="K11" s="112">
        <f t="shared" si="59"/>
        <v>1.2E-2</v>
      </c>
      <c r="L11" s="112">
        <f t="shared" si="60"/>
        <v>8.0000000000000002E-3</v>
      </c>
      <c r="M11" s="112">
        <f t="shared" si="61"/>
        <v>4.0000000000000001E-3</v>
      </c>
      <c r="N11" s="112">
        <f t="shared" si="62"/>
        <v>0</v>
      </c>
      <c r="O11" s="261">
        <f t="shared" si="63"/>
        <v>7.4296775667000547E-2</v>
      </c>
      <c r="P11" s="112">
        <f t="shared" si="64"/>
        <v>0</v>
      </c>
      <c r="Q11" s="112">
        <f t="shared" si="65"/>
        <v>0</v>
      </c>
      <c r="R11" s="112">
        <f t="shared" si="66"/>
        <v>0</v>
      </c>
      <c r="S11" s="112">
        <f t="shared" si="67"/>
        <v>0</v>
      </c>
      <c r="T11" s="262">
        <f t="shared" si="68"/>
        <v>0</v>
      </c>
      <c r="U11" s="460">
        <f>SUM(IF((12*(IF(ISBLANK(E11),C11,E11)))+(IF(ISBLANK(D11),B11,D11)) &lt; 0, 0, (12*(IF(ISBLANK(E11),C11,E11)))+(IF(ISBLANK(D11),B11,D11))))*12</f>
        <v>0</v>
      </c>
      <c r="V11" s="261">
        <f>SUM(IF((15*(IF(ISBLANK(E11),C11,E11)))+(IF(ISBLANK(D11),B11,D11)) &lt; 0, 0, (15*(IF(ISBLANK(E11),C11,E11)))+(IF(ISBLANK(D11),B11,D11))))*12</f>
        <v>0</v>
      </c>
      <c r="W11" s="262">
        <f>SUM(IF((18*(IF(ISBLANK(E11),C11,E11)))+(IF(ISBLANK(D11),B11,D11)) &lt; 0, 0, (18*(IF(ISBLANK(E11),C11,E11)))+(IF(ISBLANK(D11),B11,D11))))*12</f>
        <v>0</v>
      </c>
      <c r="X11" s="174"/>
      <c r="Y11" s="499">
        <v>0</v>
      </c>
      <c r="Z11" s="112">
        <f t="shared" si="69"/>
        <v>0</v>
      </c>
      <c r="AA11" s="112">
        <f t="shared" si="70"/>
        <v>0</v>
      </c>
      <c r="AB11" s="112">
        <f t="shared" si="71"/>
        <v>0</v>
      </c>
      <c r="AC11" s="261">
        <f t="shared" si="9"/>
        <v>0</v>
      </c>
      <c r="AD11" s="114"/>
      <c r="AE11" s="112">
        <f t="shared" si="72"/>
        <v>0.02</v>
      </c>
      <c r="AF11" s="112">
        <f t="shared" si="73"/>
        <v>0.02</v>
      </c>
      <c r="AG11" s="112">
        <f t="shared" si="74"/>
        <v>0.02</v>
      </c>
      <c r="AH11" s="261">
        <f t="shared" si="10"/>
        <v>0.06</v>
      </c>
      <c r="AI11" s="114"/>
      <c r="AJ11" s="112">
        <f t="shared" si="75"/>
        <v>0.02</v>
      </c>
      <c r="AK11" s="112">
        <f t="shared" si="76"/>
        <v>0.02</v>
      </c>
      <c r="AL11" s="112">
        <f t="shared" si="77"/>
        <v>0.02</v>
      </c>
      <c r="AM11" s="261">
        <f t="shared" si="11"/>
        <v>0.06</v>
      </c>
      <c r="AN11" s="114"/>
      <c r="AO11" s="112">
        <f t="shared" si="78"/>
        <v>1.6E-2</v>
      </c>
      <c r="AP11" s="112">
        <f t="shared" si="79"/>
        <v>1.6E-2</v>
      </c>
      <c r="AQ11" s="112">
        <f t="shared" si="80"/>
        <v>1.6E-2</v>
      </c>
      <c r="AR11" s="261">
        <f t="shared" si="15"/>
        <v>4.8000000000000001E-2</v>
      </c>
      <c r="AS11" s="114"/>
      <c r="AT11" s="112">
        <f t="shared" si="81"/>
        <v>1.2E-2</v>
      </c>
      <c r="AU11" s="112">
        <f t="shared" si="82"/>
        <v>1.2E-2</v>
      </c>
      <c r="AV11" s="112">
        <f t="shared" si="83"/>
        <v>1.2E-2</v>
      </c>
      <c r="AW11" s="261">
        <f t="shared" si="19"/>
        <v>3.6000000000000004E-2</v>
      </c>
      <c r="AX11" s="114"/>
      <c r="AY11" s="112">
        <f t="shared" si="84"/>
        <v>8.0000000000000002E-3</v>
      </c>
      <c r="AZ11" s="112">
        <f t="shared" si="85"/>
        <v>8.0000000000000002E-3</v>
      </c>
      <c r="BA11" s="112">
        <f t="shared" si="86"/>
        <v>8.0000000000000002E-3</v>
      </c>
      <c r="BB11" s="261">
        <f t="shared" si="23"/>
        <v>2.4E-2</v>
      </c>
      <c r="BC11" s="114"/>
      <c r="BD11" s="112">
        <f t="shared" si="87"/>
        <v>4.0000000000000001E-3</v>
      </c>
      <c r="BE11" s="112">
        <f t="shared" si="88"/>
        <v>4.0000000000000001E-3</v>
      </c>
      <c r="BF11" s="112">
        <f t="shared" si="89"/>
        <v>4.0000000000000001E-3</v>
      </c>
      <c r="BG11" s="261">
        <f t="shared" si="27"/>
        <v>1.2E-2</v>
      </c>
      <c r="BH11" s="114"/>
      <c r="BI11" s="112">
        <f t="shared" si="90"/>
        <v>0</v>
      </c>
      <c r="BJ11" s="112">
        <f t="shared" si="91"/>
        <v>0</v>
      </c>
      <c r="BK11" s="112">
        <f t="shared" si="92"/>
        <v>0</v>
      </c>
      <c r="BL11" s="261">
        <f t="shared" si="51"/>
        <v>0</v>
      </c>
      <c r="BM11" s="114"/>
      <c r="BN11" s="112">
        <f t="shared" si="93"/>
        <v>0</v>
      </c>
      <c r="BO11" s="112">
        <f t="shared" si="94"/>
        <v>0</v>
      </c>
      <c r="BP11" s="112">
        <f t="shared" si="95"/>
        <v>0</v>
      </c>
      <c r="BQ11" s="261">
        <f t="shared" si="52"/>
        <v>0</v>
      </c>
      <c r="BR11" s="114"/>
      <c r="BS11" s="112">
        <f t="shared" si="96"/>
        <v>0</v>
      </c>
      <c r="BT11" s="112">
        <f t="shared" si="97"/>
        <v>0</v>
      </c>
      <c r="BU11" s="112">
        <f t="shared" si="98"/>
        <v>0</v>
      </c>
      <c r="BV11" s="261">
        <f t="shared" si="53"/>
        <v>0</v>
      </c>
      <c r="BW11" s="114"/>
      <c r="BX11" s="112">
        <f t="shared" si="99"/>
        <v>0</v>
      </c>
      <c r="BY11" s="112">
        <f t="shared" si="100"/>
        <v>0</v>
      </c>
      <c r="BZ11" s="112">
        <f t="shared" si="101"/>
        <v>0</v>
      </c>
      <c r="CA11" s="261">
        <f t="shared" si="54"/>
        <v>0</v>
      </c>
      <c r="CB11" s="114"/>
      <c r="CC11" s="112">
        <f t="shared" si="102"/>
        <v>0</v>
      </c>
      <c r="CD11" s="112">
        <f t="shared" si="103"/>
        <v>0</v>
      </c>
      <c r="CE11" s="112">
        <f t="shared" si="104"/>
        <v>0</v>
      </c>
      <c r="CF11" s="261">
        <f t="shared" si="55"/>
        <v>0</v>
      </c>
      <c r="CG11" s="113"/>
    </row>
    <row r="12" spans="1:175" s="10" customFormat="1" ht="9.75" customHeight="1" x14ac:dyDescent="0.15">
      <c r="A12" s="482" t="s">
        <v>182</v>
      </c>
      <c r="B12" s="270">
        <v>0.01</v>
      </c>
      <c r="C12" s="293">
        <v>-5.0000000000000001E-3</v>
      </c>
      <c r="D12" s="194"/>
      <c r="E12" s="441"/>
      <c r="F12" s="118">
        <v>0</v>
      </c>
      <c r="G12" s="126">
        <v>0.05</v>
      </c>
      <c r="H12" s="112">
        <f t="shared" si="56"/>
        <v>0.01</v>
      </c>
      <c r="I12" s="112">
        <f t="shared" si="57"/>
        <v>5.0000000000000001E-3</v>
      </c>
      <c r="J12" s="261">
        <f t="shared" si="58"/>
        <v>0.21068232980428347</v>
      </c>
      <c r="K12" s="112">
        <f t="shared" si="59"/>
        <v>0</v>
      </c>
      <c r="L12" s="112">
        <f t="shared" si="60"/>
        <v>0</v>
      </c>
      <c r="M12" s="112">
        <f t="shared" si="61"/>
        <v>0</v>
      </c>
      <c r="N12" s="112">
        <f t="shared" si="62"/>
        <v>0</v>
      </c>
      <c r="O12" s="261">
        <f t="shared" si="63"/>
        <v>0</v>
      </c>
      <c r="P12" s="112">
        <f t="shared" si="64"/>
        <v>0</v>
      </c>
      <c r="Q12" s="112">
        <f t="shared" si="65"/>
        <v>0</v>
      </c>
      <c r="R12" s="112">
        <f t="shared" si="66"/>
        <v>0</v>
      </c>
      <c r="S12" s="112">
        <f t="shared" si="67"/>
        <v>0</v>
      </c>
      <c r="T12" s="262">
        <f t="shared" si="68"/>
        <v>0</v>
      </c>
      <c r="U12" s="460">
        <f>SUM(IF((12*(IF(ISBLANK(E12),C12,E12)))+(IF(ISBLANK(D12),B12,D12)) &lt; 0, 0, (12*(IF(ISBLANK(E12),C12,E12)))+(IF(ISBLANK(D12),B12,D12))))*12</f>
        <v>0</v>
      </c>
      <c r="V12" s="261">
        <f>SUM(IF((15*(IF(ISBLANK(E12),C12,E12)))+(IF(ISBLANK(D12),B12,D12)) &lt; 0, 0, (15*(IF(ISBLANK(E12),C12,E12)))+(IF(ISBLANK(D12),B12,D12))))*12</f>
        <v>0</v>
      </c>
      <c r="W12" s="262">
        <f>SUM(IF((18*(IF(ISBLANK(E12),C12,E12)))+(IF(ISBLANK(D12),B12,D12)) &lt; 0, 0, (18*(IF(ISBLANK(E12),C12,E12)))+(IF(ISBLANK(D12),B12,D12))))*12</f>
        <v>0</v>
      </c>
      <c r="X12" s="174"/>
      <c r="Y12" s="499">
        <v>0</v>
      </c>
      <c r="Z12" s="112">
        <f t="shared" si="69"/>
        <v>0</v>
      </c>
      <c r="AA12" s="112">
        <f t="shared" si="70"/>
        <v>0</v>
      </c>
      <c r="AB12" s="112">
        <f t="shared" si="71"/>
        <v>0</v>
      </c>
      <c r="AC12" s="261">
        <f t="shared" si="9"/>
        <v>0</v>
      </c>
      <c r="AD12" s="114"/>
      <c r="AE12" s="112">
        <f t="shared" si="72"/>
        <v>0.05</v>
      </c>
      <c r="AF12" s="112">
        <f t="shared" si="73"/>
        <v>0.05</v>
      </c>
      <c r="AG12" s="112">
        <f t="shared" si="74"/>
        <v>0.05</v>
      </c>
      <c r="AH12" s="261">
        <f t="shared" si="10"/>
        <v>0.15000000000000002</v>
      </c>
      <c r="AI12" s="114"/>
      <c r="AJ12" s="112">
        <f t="shared" si="75"/>
        <v>0.01</v>
      </c>
      <c r="AK12" s="112">
        <f t="shared" si="76"/>
        <v>0.01</v>
      </c>
      <c r="AL12" s="112">
        <f t="shared" si="77"/>
        <v>0.01</v>
      </c>
      <c r="AM12" s="261">
        <f t="shared" si="11"/>
        <v>0.03</v>
      </c>
      <c r="AN12" s="114"/>
      <c r="AO12" s="112">
        <f t="shared" si="78"/>
        <v>5.0000000000000001E-3</v>
      </c>
      <c r="AP12" s="112">
        <f t="shared" si="79"/>
        <v>5.0000000000000001E-3</v>
      </c>
      <c r="AQ12" s="112">
        <f t="shared" si="80"/>
        <v>5.0000000000000001E-3</v>
      </c>
      <c r="AR12" s="261">
        <f t="shared" si="15"/>
        <v>1.4999999999999999E-2</v>
      </c>
      <c r="AS12" s="114"/>
      <c r="AT12" s="112">
        <f t="shared" si="81"/>
        <v>0</v>
      </c>
      <c r="AU12" s="112">
        <f t="shared" si="82"/>
        <v>0</v>
      </c>
      <c r="AV12" s="112">
        <f t="shared" si="83"/>
        <v>0</v>
      </c>
      <c r="AW12" s="261">
        <f t="shared" si="19"/>
        <v>0</v>
      </c>
      <c r="AX12" s="114"/>
      <c r="AY12" s="112">
        <f t="shared" si="84"/>
        <v>0</v>
      </c>
      <c r="AZ12" s="112">
        <f t="shared" si="85"/>
        <v>0</v>
      </c>
      <c r="BA12" s="112">
        <f t="shared" si="86"/>
        <v>0</v>
      </c>
      <c r="BB12" s="261">
        <f t="shared" si="23"/>
        <v>0</v>
      </c>
      <c r="BC12" s="114"/>
      <c r="BD12" s="112">
        <f t="shared" si="87"/>
        <v>0</v>
      </c>
      <c r="BE12" s="112">
        <f t="shared" si="88"/>
        <v>0</v>
      </c>
      <c r="BF12" s="112">
        <f t="shared" si="89"/>
        <v>0</v>
      </c>
      <c r="BG12" s="261">
        <f t="shared" si="27"/>
        <v>0</v>
      </c>
      <c r="BH12" s="114"/>
      <c r="BI12" s="112">
        <f t="shared" si="90"/>
        <v>0</v>
      </c>
      <c r="BJ12" s="112">
        <f t="shared" si="91"/>
        <v>0</v>
      </c>
      <c r="BK12" s="112">
        <f t="shared" si="92"/>
        <v>0</v>
      </c>
      <c r="BL12" s="261">
        <f t="shared" si="51"/>
        <v>0</v>
      </c>
      <c r="BM12" s="114"/>
      <c r="BN12" s="112">
        <f t="shared" si="93"/>
        <v>0</v>
      </c>
      <c r="BO12" s="112">
        <f t="shared" si="94"/>
        <v>0</v>
      </c>
      <c r="BP12" s="112">
        <f t="shared" si="95"/>
        <v>0</v>
      </c>
      <c r="BQ12" s="261">
        <f t="shared" si="52"/>
        <v>0</v>
      </c>
      <c r="BR12" s="114"/>
      <c r="BS12" s="112">
        <f t="shared" si="96"/>
        <v>0</v>
      </c>
      <c r="BT12" s="112">
        <f t="shared" si="97"/>
        <v>0</v>
      </c>
      <c r="BU12" s="112">
        <f t="shared" si="98"/>
        <v>0</v>
      </c>
      <c r="BV12" s="261">
        <f t="shared" si="53"/>
        <v>0</v>
      </c>
      <c r="BW12" s="114"/>
      <c r="BX12" s="112">
        <f t="shared" si="99"/>
        <v>0</v>
      </c>
      <c r="BY12" s="112">
        <f t="shared" si="100"/>
        <v>0</v>
      </c>
      <c r="BZ12" s="112">
        <f t="shared" si="101"/>
        <v>0</v>
      </c>
      <c r="CA12" s="261">
        <f t="shared" si="54"/>
        <v>0</v>
      </c>
      <c r="CB12" s="114"/>
      <c r="CC12" s="112">
        <f t="shared" si="102"/>
        <v>0</v>
      </c>
      <c r="CD12" s="112">
        <f t="shared" si="103"/>
        <v>0</v>
      </c>
      <c r="CE12" s="112">
        <f t="shared" si="104"/>
        <v>0</v>
      </c>
      <c r="CF12" s="261">
        <f t="shared" si="55"/>
        <v>0</v>
      </c>
      <c r="CG12" s="113"/>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row>
    <row r="13" spans="1:175" s="10" customFormat="1" ht="9.75" customHeight="1" thickBot="1" x14ac:dyDescent="0.2">
      <c r="A13" s="483" t="s">
        <v>184</v>
      </c>
      <c r="B13" s="366">
        <v>0</v>
      </c>
      <c r="C13" s="373">
        <v>0</v>
      </c>
      <c r="D13" s="244"/>
      <c r="E13" s="442"/>
      <c r="F13" s="447">
        <v>0</v>
      </c>
      <c r="G13" s="245">
        <v>0</v>
      </c>
      <c r="H13" s="217">
        <f t="shared" si="56"/>
        <v>0</v>
      </c>
      <c r="I13" s="217">
        <f t="shared" si="57"/>
        <v>0</v>
      </c>
      <c r="J13" s="264">
        <f t="shared" si="58"/>
        <v>0</v>
      </c>
      <c r="K13" s="217">
        <f t="shared" si="59"/>
        <v>0</v>
      </c>
      <c r="L13" s="217">
        <f t="shared" si="60"/>
        <v>0</v>
      </c>
      <c r="M13" s="217">
        <f t="shared" si="61"/>
        <v>0</v>
      </c>
      <c r="N13" s="217">
        <f t="shared" si="62"/>
        <v>0</v>
      </c>
      <c r="O13" s="264">
        <f t="shared" si="63"/>
        <v>0</v>
      </c>
      <c r="P13" s="217">
        <f t="shared" si="64"/>
        <v>0</v>
      </c>
      <c r="Q13" s="217">
        <f t="shared" si="65"/>
        <v>0</v>
      </c>
      <c r="R13" s="217">
        <f t="shared" si="66"/>
        <v>0</v>
      </c>
      <c r="S13" s="217">
        <f t="shared" si="67"/>
        <v>0</v>
      </c>
      <c r="T13" s="265">
        <f t="shared" si="68"/>
        <v>0</v>
      </c>
      <c r="U13" s="461">
        <f>SUM(IF((12*(IF(ISBLANK(E13),C13,E13)))+(IF(ISBLANK(D13),B13,D13)) &lt; 0, 0, (12*(IF(ISBLANK(E13),C13,E13)))+(IF(ISBLANK(D13),B13,D13))))*12</f>
        <v>0</v>
      </c>
      <c r="V13" s="264">
        <f>SUM(IF((15*(IF(ISBLANK(E13),C13,E13)))+(IF(ISBLANK(D13),B13,D13)) &lt; 0, 0, (15*(IF(ISBLANK(E13),C13,E13)))+(IF(ISBLANK(D13),B13,D13))))*12</f>
        <v>0</v>
      </c>
      <c r="W13" s="265">
        <f>SUM(IF((18*(IF(ISBLANK(E13),C13,E13)))+(IF(ISBLANK(D13),B13,D13)) &lt; 0, 0, (18*(IF(ISBLANK(E13),C13,E13)))+(IF(ISBLANK(D13),B13,D13))))*12</f>
        <v>0</v>
      </c>
      <c r="X13" s="220"/>
      <c r="Y13" s="500">
        <v>0</v>
      </c>
      <c r="Z13" s="217">
        <f t="shared" si="69"/>
        <v>0</v>
      </c>
      <c r="AA13" s="217">
        <f t="shared" si="70"/>
        <v>0</v>
      </c>
      <c r="AB13" s="217">
        <f t="shared" si="71"/>
        <v>0</v>
      </c>
      <c r="AC13" s="264">
        <f t="shared" si="9"/>
        <v>0</v>
      </c>
      <c r="AD13" s="218"/>
      <c r="AE13" s="217">
        <f t="shared" si="72"/>
        <v>0</v>
      </c>
      <c r="AF13" s="217">
        <f t="shared" si="73"/>
        <v>0</v>
      </c>
      <c r="AG13" s="217">
        <f t="shared" si="74"/>
        <v>0</v>
      </c>
      <c r="AH13" s="264">
        <f t="shared" si="10"/>
        <v>0</v>
      </c>
      <c r="AI13" s="218"/>
      <c r="AJ13" s="217">
        <f t="shared" si="75"/>
        <v>0</v>
      </c>
      <c r="AK13" s="217">
        <f t="shared" si="76"/>
        <v>0</v>
      </c>
      <c r="AL13" s="217">
        <f t="shared" si="77"/>
        <v>0</v>
      </c>
      <c r="AM13" s="264">
        <f t="shared" si="11"/>
        <v>0</v>
      </c>
      <c r="AN13" s="218"/>
      <c r="AO13" s="217">
        <f t="shared" si="78"/>
        <v>0</v>
      </c>
      <c r="AP13" s="217">
        <f t="shared" si="79"/>
        <v>0</v>
      </c>
      <c r="AQ13" s="217">
        <f t="shared" si="80"/>
        <v>0</v>
      </c>
      <c r="AR13" s="264">
        <f t="shared" si="15"/>
        <v>0</v>
      </c>
      <c r="AS13" s="218"/>
      <c r="AT13" s="217">
        <f t="shared" si="81"/>
        <v>0</v>
      </c>
      <c r="AU13" s="217">
        <f t="shared" si="82"/>
        <v>0</v>
      </c>
      <c r="AV13" s="217">
        <f t="shared" si="83"/>
        <v>0</v>
      </c>
      <c r="AW13" s="264">
        <f t="shared" si="19"/>
        <v>0</v>
      </c>
      <c r="AX13" s="218"/>
      <c r="AY13" s="217">
        <f t="shared" si="84"/>
        <v>0</v>
      </c>
      <c r="AZ13" s="217">
        <f t="shared" si="85"/>
        <v>0</v>
      </c>
      <c r="BA13" s="217">
        <f t="shared" si="86"/>
        <v>0</v>
      </c>
      <c r="BB13" s="264">
        <f t="shared" si="23"/>
        <v>0</v>
      </c>
      <c r="BC13" s="218"/>
      <c r="BD13" s="217">
        <f t="shared" si="87"/>
        <v>0</v>
      </c>
      <c r="BE13" s="217">
        <f t="shared" si="88"/>
        <v>0</v>
      </c>
      <c r="BF13" s="217">
        <f t="shared" si="89"/>
        <v>0</v>
      </c>
      <c r="BG13" s="264">
        <f t="shared" si="27"/>
        <v>0</v>
      </c>
      <c r="BH13" s="218"/>
      <c r="BI13" s="217">
        <f t="shared" si="90"/>
        <v>0</v>
      </c>
      <c r="BJ13" s="217">
        <f t="shared" si="91"/>
        <v>0</v>
      </c>
      <c r="BK13" s="217">
        <f t="shared" si="92"/>
        <v>0</v>
      </c>
      <c r="BL13" s="264">
        <f t="shared" si="51"/>
        <v>0</v>
      </c>
      <c r="BM13" s="218"/>
      <c r="BN13" s="217">
        <f t="shared" si="93"/>
        <v>0</v>
      </c>
      <c r="BO13" s="217">
        <f t="shared" si="94"/>
        <v>0</v>
      </c>
      <c r="BP13" s="217">
        <f t="shared" si="95"/>
        <v>0</v>
      </c>
      <c r="BQ13" s="264">
        <f t="shared" si="52"/>
        <v>0</v>
      </c>
      <c r="BR13" s="218"/>
      <c r="BS13" s="217">
        <f t="shared" si="96"/>
        <v>0</v>
      </c>
      <c r="BT13" s="217">
        <f t="shared" si="97"/>
        <v>0</v>
      </c>
      <c r="BU13" s="217">
        <f t="shared" si="98"/>
        <v>0</v>
      </c>
      <c r="BV13" s="264">
        <f t="shared" si="53"/>
        <v>0</v>
      </c>
      <c r="BW13" s="218"/>
      <c r="BX13" s="217">
        <f t="shared" si="99"/>
        <v>0</v>
      </c>
      <c r="BY13" s="217">
        <f t="shared" si="100"/>
        <v>0</v>
      </c>
      <c r="BZ13" s="217">
        <f t="shared" si="101"/>
        <v>0</v>
      </c>
      <c r="CA13" s="264">
        <f t="shared" si="54"/>
        <v>0</v>
      </c>
      <c r="CB13" s="218"/>
      <c r="CC13" s="217">
        <f t="shared" si="102"/>
        <v>0</v>
      </c>
      <c r="CD13" s="217">
        <f t="shared" si="103"/>
        <v>0</v>
      </c>
      <c r="CE13" s="217">
        <f t="shared" si="104"/>
        <v>0</v>
      </c>
      <c r="CF13" s="264">
        <f t="shared" si="55"/>
        <v>0</v>
      </c>
      <c r="CG13" s="219"/>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row>
    <row r="14" spans="1:175" s="10" customFormat="1" ht="9.75" customHeight="1" x14ac:dyDescent="0.15">
      <c r="A14" s="237" t="s">
        <v>185</v>
      </c>
      <c r="B14" s="370">
        <v>100000</v>
      </c>
      <c r="C14" s="371">
        <v>1000000</v>
      </c>
      <c r="D14" s="238"/>
      <c r="E14" s="239"/>
      <c r="F14" s="240">
        <f>SUM(IF(((1-(Y18/(IF(ISBLANK(D14),B14,(IF(D14=0,9.99999999999999E+29,D14))))))*SUM(F9:F13))&lt;0,0,((1-(Y18/(IF(ISBLANK(D14),B14,(IF(D14=0,9.99999999999999E+29,D14))))))*SUM(F9:F13))))</f>
        <v>9.8499999999999994E-3</v>
      </c>
      <c r="G14" s="241">
        <f>SUM(IF(((1-(F18/(IF(ISBLANK(D14),B14,(IF(D14=0,9.99999999999999E+29,D14))))))*SUM(G9:G13))&lt;0,0,((1-(F18/(IF(ISBLANK(D14),B14,(IF(D14=0,9.99999999999999E+29,D14))))))*SUM(G9:G13))))</f>
        <v>0.11757496239702421</v>
      </c>
      <c r="H14" s="241">
        <f>SUM(IF(((1-(G18/(IF(ISBLANK(D14),B14,(IF(D14=0,9.99999999999999E+29,D14))))))*SUM(H9:H13))&lt;0,0,((1-(G18/(IF(ISBLANK(D14),B14,(IF(D14=0,9.99999999999999E+29,D14))))))*SUM(H9:H13))))</f>
        <v>8.5649549744655204E-2</v>
      </c>
      <c r="I14" s="241">
        <f>SUM(IF(((1-(H18/(IF(ISBLANK(D14),B14,(IF(D14=0,9.99999999999999E+29,D14))))))*SUM(I9:I13))&lt;0,0,((1-(H18/(IF(ISBLANK(D14),B14,(IF(D14=0,9.99999999999999E+29,D14))))))*SUM(I9:I13))))</f>
        <v>7.1382713501884562E-2</v>
      </c>
      <c r="J14" s="267">
        <f t="shared" si="58"/>
        <v>1.2620566355682059</v>
      </c>
      <c r="K14" s="241">
        <f>SUM(IF(((1-(I18/(IF(ISBLANK(E14),C14,(IF(E14=0,9.99999999999999E+29,E14))))))*SUM(K9:K13))&lt;0,0,((1-(I18/(IF(ISBLANK(E14),C14,(IF(E14=0,9.99999999999999E+29,E14))))))*SUM(K9:K13))))</f>
        <v>6.5282875602962157E-2</v>
      </c>
      <c r="L14" s="241">
        <f>SUM(IF(((1-(K18/(IF(ISBLANK(E14),C14,(IF(E14=0,9.99999999999999E+29,E14))))))*SUM(L9:L13))&lt;0,0,((1-(K18/(IF(ISBLANK(E14),C14,(IF(E14=0,9.99999999999999E+29,E14))))))*SUM(L9:L13))))</f>
        <v>5.821132360377667E-2</v>
      </c>
      <c r="M14" s="241">
        <f>SUM(IF(((1-(L18/(IF(ISBLANK(E14),C14,(IF(E14=0,9.99999999999999E+29,E14))))))*SUM(M9:M13))&lt;0,0,((1-(L18/(IF(ISBLANK(E14),C14,(IF(E14=0,9.99999999999999E+29,E14))))))*SUM(M9:M13))))</f>
        <v>5.1192559531596071E-2</v>
      </c>
      <c r="N14" s="241">
        <f>SUM(IF(((1-(M18/(IF(ISBLANK(E14),C14,(IF(E14=0,9.99999999999999E+29,E14))))))*SUM(N9:N13))&lt;0,0,((1-(M18/(IF(ISBLANK(E14),C14,(IF(E14=0,9.99999999999999E+29,E14))))))*SUM(N9:N13))))</f>
        <v>4.4210628770165641E-2</v>
      </c>
      <c r="O14" s="267">
        <f t="shared" si="63"/>
        <v>0.89462478346566798</v>
      </c>
      <c r="P14" s="241">
        <f>SUM(IF(((1-(N18/(IF(ISBLANK(E14),C14,(IF(E14=0,9.99999999999999E+29,E14))))))*SUM(P9:P13))&lt;0,0,((1-(N18/(IF(ISBLANK(E14),C14,(IF(E14=0,9.99999999999999E+29,E14))))))*SUM(P9:P13))))</f>
        <v>4.1179977929033267E-2</v>
      </c>
      <c r="Q14" s="241">
        <f>SUM(IF(((1-(P18/(IF(ISBLANK(E14),C14,(IF(E14=0,9.99999999999999E+29,E14))))))*SUM(Q9:Q13))&lt;0,0,((1-(P18/(IF(ISBLANK(E14),C14,(IF(E14=0,9.99999999999999E+29,E14))))))*SUM(Q9:Q13))))</f>
        <v>3.8151678208155834E-2</v>
      </c>
      <c r="R14" s="241">
        <f>SUM(IF(((1-(Q18/(IF(ISBLANK(E14),C14,(IF(E14=0,9.99999999999999E+29,E14))))))*SUM(R9:R13))&lt;0,0,((1-(Q18/(IF(ISBLANK(E14),C14,(IF(E14=0,9.99999999999999E+29,E14))))))*SUM(R9:R13))))</f>
        <v>3.5127454496846747E-2</v>
      </c>
      <c r="S14" s="241">
        <f>SUM(IF(((1-(R18/(IF(ISBLANK(E14),C14,(IF(E14=0,9.99999999999999E+29,E14))))))*SUM(S9:S13))&lt;0,0,((1-(R18/(IF(ISBLANK(E14),C14,(IF(E14=0,9.99999999999999E+29,E14))))))*SUM(S9:S13))))</f>
        <v>3.2108891999149181E-2</v>
      </c>
      <c r="T14" s="268">
        <f t="shared" si="68"/>
        <v>0.53998998429474332</v>
      </c>
      <c r="U14" s="266">
        <f>SUM(IF(((1-(T18/(IF(ISBLANK(E14),C14,(IF(E14=0,9.99999999999999E+29,E14))))))*SUM(U9:U13))&lt;0,0,((1-(T18/(IF(ISBLANK(E14),C14,(IF(E14=0,9.99999999999999E+29,E14))))))*SUM(U9:U13))))</f>
        <v>0.27933725445811847</v>
      </c>
      <c r="V14" s="267">
        <f>SUM(IF(((1-(U18/(IF(ISBLANK(E14),C14,(IF(E14=0,9.99999999999999E+29,E14))))))*SUM(V9:V13))&lt;0,0,((1-(U18/(IF(ISBLANK(E14),C14,(IF(E14=0,9.99999999999999E+29,E14))))))*SUM(V9:V13))))</f>
        <v>0.16351436784732573</v>
      </c>
      <c r="W14" s="268">
        <f>SUM(IF(((1-(V18/(IF(ISBLANK(E14),C14,(IF(E14=0,9.99999999999999E+29,E14))))))*SUM(W9:W13))&lt;0,0,((1-(V18/(IF(ISBLANK(E14),C14,(IF(E14=0,9.99999999999999E+29,E14))))))*SUM(W9:W13))))</f>
        <v>0.12267191703007432</v>
      </c>
      <c r="X14" s="243"/>
      <c r="Y14" s="501">
        <v>0</v>
      </c>
      <c r="Z14" s="241">
        <f>F14</f>
        <v>9.8499999999999994E-3</v>
      </c>
      <c r="AA14" s="241">
        <f>F14</f>
        <v>9.8499999999999994E-3</v>
      </c>
      <c r="AB14" s="241">
        <f>F14</f>
        <v>9.8499999999999994E-3</v>
      </c>
      <c r="AC14" s="267">
        <f t="shared" si="9"/>
        <v>2.955E-2</v>
      </c>
      <c r="AD14" s="242"/>
      <c r="AE14" s="241">
        <f>G14</f>
        <v>0.11757496239702421</v>
      </c>
      <c r="AF14" s="241">
        <f>G14</f>
        <v>0.11757496239702421</v>
      </c>
      <c r="AG14" s="241">
        <f>G14</f>
        <v>0.11757496239702421</v>
      </c>
      <c r="AH14" s="267">
        <f t="shared" si="10"/>
        <v>0.35272488719107264</v>
      </c>
      <c r="AI14" s="242"/>
      <c r="AJ14" s="241">
        <f>H14</f>
        <v>8.5649549744655204E-2</v>
      </c>
      <c r="AK14" s="241">
        <f>H14</f>
        <v>8.5649549744655204E-2</v>
      </c>
      <c r="AL14" s="241">
        <f>H14</f>
        <v>8.5649549744655204E-2</v>
      </c>
      <c r="AM14" s="267">
        <f t="shared" si="11"/>
        <v>0.2569486492339656</v>
      </c>
      <c r="AN14" s="242"/>
      <c r="AO14" s="241">
        <f>I14</f>
        <v>7.1382713501884562E-2</v>
      </c>
      <c r="AP14" s="241">
        <f>I14</f>
        <v>7.1382713501884562E-2</v>
      </c>
      <c r="AQ14" s="241">
        <f>I14</f>
        <v>7.1382713501884562E-2</v>
      </c>
      <c r="AR14" s="267">
        <f t="shared" si="15"/>
        <v>0.21414814050565367</v>
      </c>
      <c r="AS14" s="242"/>
      <c r="AT14" s="241">
        <f>K14</f>
        <v>6.5282875602962157E-2</v>
      </c>
      <c r="AU14" s="241">
        <f>K14</f>
        <v>6.5282875602962157E-2</v>
      </c>
      <c r="AV14" s="241">
        <f>K14</f>
        <v>6.5282875602962157E-2</v>
      </c>
      <c r="AW14" s="267">
        <f t="shared" si="19"/>
        <v>0.19584862680888648</v>
      </c>
      <c r="AX14" s="242"/>
      <c r="AY14" s="241">
        <f>L14</f>
        <v>5.821132360377667E-2</v>
      </c>
      <c r="AZ14" s="241">
        <f>L14</f>
        <v>5.821132360377667E-2</v>
      </c>
      <c r="BA14" s="241">
        <f>L14</f>
        <v>5.821132360377667E-2</v>
      </c>
      <c r="BB14" s="267">
        <f t="shared" si="23"/>
        <v>0.17463397081133</v>
      </c>
      <c r="BC14" s="242"/>
      <c r="BD14" s="241">
        <f>M14</f>
        <v>5.1192559531596071E-2</v>
      </c>
      <c r="BE14" s="241">
        <f>M14</f>
        <v>5.1192559531596071E-2</v>
      </c>
      <c r="BF14" s="241">
        <f>M14</f>
        <v>5.1192559531596071E-2</v>
      </c>
      <c r="BG14" s="267">
        <f t="shared" si="27"/>
        <v>0.15357767859478821</v>
      </c>
      <c r="BH14" s="242"/>
      <c r="BI14" s="241">
        <f>N14</f>
        <v>4.4210628770165641E-2</v>
      </c>
      <c r="BJ14" s="241">
        <f>N14</f>
        <v>4.4210628770165641E-2</v>
      </c>
      <c r="BK14" s="241">
        <f>N14</f>
        <v>4.4210628770165641E-2</v>
      </c>
      <c r="BL14" s="267">
        <f t="shared" si="51"/>
        <v>0.13263188631049694</v>
      </c>
      <c r="BM14" s="242"/>
      <c r="BN14" s="241">
        <f>P14</f>
        <v>4.1179977929033267E-2</v>
      </c>
      <c r="BO14" s="241">
        <f>P14</f>
        <v>4.1179977929033267E-2</v>
      </c>
      <c r="BP14" s="241">
        <f>P14</f>
        <v>4.1179977929033267E-2</v>
      </c>
      <c r="BQ14" s="267">
        <f t="shared" si="52"/>
        <v>0.12353993378709979</v>
      </c>
      <c r="BR14" s="242"/>
      <c r="BS14" s="241">
        <f>Q14</f>
        <v>3.8151678208155834E-2</v>
      </c>
      <c r="BT14" s="241">
        <f>Q14</f>
        <v>3.8151678208155834E-2</v>
      </c>
      <c r="BU14" s="241">
        <f>Q14</f>
        <v>3.8151678208155834E-2</v>
      </c>
      <c r="BV14" s="267">
        <f t="shared" si="53"/>
        <v>0.1144550346244675</v>
      </c>
      <c r="BW14" s="242"/>
      <c r="BX14" s="241">
        <f>R14</f>
        <v>3.5127454496846747E-2</v>
      </c>
      <c r="BY14" s="241">
        <f>R14</f>
        <v>3.5127454496846747E-2</v>
      </c>
      <c r="BZ14" s="241">
        <f>R14</f>
        <v>3.5127454496846747E-2</v>
      </c>
      <c r="CA14" s="267">
        <f t="shared" si="54"/>
        <v>0.10538236349054024</v>
      </c>
      <c r="CB14" s="242"/>
      <c r="CC14" s="241">
        <f>S14</f>
        <v>3.2108891999149181E-2</v>
      </c>
      <c r="CD14" s="241">
        <f>S14</f>
        <v>3.2108891999149181E-2</v>
      </c>
      <c r="CE14" s="241">
        <f>S14</f>
        <v>3.2108891999149181E-2</v>
      </c>
      <c r="CF14" s="267">
        <f t="shared" si="55"/>
        <v>9.6326675997447542E-2</v>
      </c>
      <c r="CG14" s="314"/>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row>
    <row r="15" spans="1:175" s="10" customFormat="1" ht="9.75" customHeight="1" x14ac:dyDescent="0.15">
      <c r="A15" s="53" t="s">
        <v>186</v>
      </c>
      <c r="B15" s="270">
        <v>0.25</v>
      </c>
      <c r="C15" s="269">
        <v>-0.01</v>
      </c>
      <c r="D15" s="118"/>
      <c r="E15" s="117"/>
      <c r="F15" s="223">
        <v>0.8</v>
      </c>
      <c r="G15" s="224">
        <v>0.5</v>
      </c>
      <c r="H15" s="225">
        <f>SUM(IF(     IF(ISBLANK(D15),B15,D15)   &gt;   0,   (     IF(ISBLANK(D15),B15,D15)   ),0))</f>
        <v>0.25</v>
      </c>
      <c r="I15" s="225">
        <f>SUM(IF(     IF(ISBLANK(D15),B15,D15)     +   (1* (IF(ISBLANK(E15),C15,E15))) &gt;   0,   (     IF(ISBLANK(D15),B15,D15)    +  (1* (IF(ISBLANK(E15),C15,E15)) )  ),0))</f>
        <v>0.24</v>
      </c>
      <c r="J15" s="439">
        <f t="shared" si="58"/>
        <v>72.297031625000017</v>
      </c>
      <c r="K15" s="225">
        <f>SUM(IF(     IF(ISBLANK(D15),B15,D15)    +   (2* (IF(ISBLANK(E15),C15,E15))) &gt;   0,   (     IF(ISBLANK(D15),B15,D15)    +  (2* (IF(ISBLANK(E15),C15,E15)) )  ),0))</f>
        <v>0.23</v>
      </c>
      <c r="L15" s="225">
        <f>SUM(IF(     IF(ISBLANK(D15),B15,D15)    +   (3* (IF(ISBLANK(E15),C15,E15))) &gt;   0,   (     IF(ISBLANK(D15),B15,D15)    +  (3* (IF(ISBLANK(E15),C15,E15)) )  ),0))</f>
        <v>0.22</v>
      </c>
      <c r="M15" s="225">
        <f>SUM(IF(     IF(ISBLANK(D15),B15,D15)     +   (4* (IF(ISBLANK(E15),C15,E15))) &gt;   0,   (     IF(ISBLANK(D15),B15,D15)   +  (4* (IF(ISBLANK(E15),C15,E15)) )  ),0))</f>
        <v>0.21</v>
      </c>
      <c r="N15" s="225">
        <f>SUM(IF(     IF(ISBLANK(D15),B15,D15)     +  (5* (IF(ISBLANK(E15),C15,E15))) &gt;   0,   (     IF(ISBLANK(D15),B15,D15)   +  (5* (IF(ISBLANK(E15),C15,E15)) )  ),0))</f>
        <v>0.2</v>
      </c>
      <c r="O15" s="439">
        <f t="shared" si="63"/>
        <v>9.3441468044006282</v>
      </c>
      <c r="P15" s="225">
        <f>SUM(IF(     IF(ISBLANK(D15),B15,D15)     +   (6* (IF(ISBLANK(E15),C15,E15))) &gt;   0,   (     IF(ISBLANK(D15),B15,D15)    +  (6* (IF(ISBLANK(E15),C15,E15)) )  ),0))</f>
        <v>0.19</v>
      </c>
      <c r="Q15" s="225">
        <f>SUM(IF(     IF(ISBLANK(D15),B15,D15)     +   (7* (IF(ISBLANK(E15),C15,E15))) &gt;   0,   (     IF(ISBLANK(D15),B15,D15)    +  (7* (IF(ISBLANK(E15),C15,E15)) )  ),0))</f>
        <v>0.18</v>
      </c>
      <c r="R15" s="225">
        <f>SUM(IF(     IF(ISBLANK(D15),B15,D15)     +   (8* (IF(ISBLANK(E15),C15,E15))) &gt;   0,   (     IF(ISBLANK(D15),B15,D15)    +  (8* (IF(ISBLANK(E15),C15,E15)) )  ),0))</f>
        <v>0.16999999999999998</v>
      </c>
      <c r="S15" s="225">
        <f>SUM(IF(     IF(ISBLANK(D15),B15,D15)     +   (9* (IF(ISBLANK(E15),C15,E15))) &gt;   0,   (     IF(ISBLANK(D15),B15,D15)   +  (9* (IF(ISBLANK(E15),C15,E15)) )  ),0))</f>
        <v>0.16</v>
      </c>
      <c r="T15" s="450">
        <f t="shared" si="68"/>
        <v>5.9217906360190113</v>
      </c>
      <c r="U15" s="270">
        <v>0.2</v>
      </c>
      <c r="V15" s="271">
        <v>0.2</v>
      </c>
      <c r="W15" s="272">
        <v>0.2</v>
      </c>
      <c r="X15" s="226"/>
      <c r="Y15" s="502">
        <v>0.7</v>
      </c>
      <c r="Z15" s="225">
        <f>F15</f>
        <v>0.8</v>
      </c>
      <c r="AA15" s="225">
        <f>F15</f>
        <v>0.8</v>
      </c>
      <c r="AB15" s="225">
        <f>F15</f>
        <v>0.8</v>
      </c>
      <c r="AC15" s="271">
        <f t="shared" si="9"/>
        <v>2.4000000000000004</v>
      </c>
      <c r="AD15" s="221"/>
      <c r="AE15" s="225">
        <f>G15</f>
        <v>0.5</v>
      </c>
      <c r="AF15" s="225">
        <f>G15</f>
        <v>0.5</v>
      </c>
      <c r="AG15" s="225">
        <f>G15</f>
        <v>0.5</v>
      </c>
      <c r="AH15" s="271">
        <f t="shared" si="10"/>
        <v>1.5</v>
      </c>
      <c r="AI15" s="221"/>
      <c r="AJ15" s="225">
        <f>H15</f>
        <v>0.25</v>
      </c>
      <c r="AK15" s="225">
        <f>H15</f>
        <v>0.25</v>
      </c>
      <c r="AL15" s="225">
        <f>H15</f>
        <v>0.25</v>
      </c>
      <c r="AM15" s="271">
        <f t="shared" si="11"/>
        <v>0.75</v>
      </c>
      <c r="AN15" s="221"/>
      <c r="AO15" s="225">
        <f>I15</f>
        <v>0.24</v>
      </c>
      <c r="AP15" s="225">
        <f>I15</f>
        <v>0.24</v>
      </c>
      <c r="AQ15" s="225">
        <f>I15</f>
        <v>0.24</v>
      </c>
      <c r="AR15" s="271">
        <f t="shared" si="15"/>
        <v>0.72</v>
      </c>
      <c r="AS15" s="221"/>
      <c r="AT15" s="225">
        <f>K15</f>
        <v>0.23</v>
      </c>
      <c r="AU15" s="225">
        <f>K15</f>
        <v>0.23</v>
      </c>
      <c r="AV15" s="225">
        <f>K15</f>
        <v>0.23</v>
      </c>
      <c r="AW15" s="271">
        <f t="shared" si="19"/>
        <v>0.69000000000000006</v>
      </c>
      <c r="AX15" s="221"/>
      <c r="AY15" s="225">
        <f>L15</f>
        <v>0.22</v>
      </c>
      <c r="AZ15" s="225">
        <f>L15</f>
        <v>0.22</v>
      </c>
      <c r="BA15" s="225">
        <f>L15</f>
        <v>0.22</v>
      </c>
      <c r="BB15" s="271">
        <f t="shared" si="23"/>
        <v>0.66</v>
      </c>
      <c r="BC15" s="221"/>
      <c r="BD15" s="225">
        <f>M15</f>
        <v>0.21</v>
      </c>
      <c r="BE15" s="225">
        <f>M15</f>
        <v>0.21</v>
      </c>
      <c r="BF15" s="225">
        <f>M15</f>
        <v>0.21</v>
      </c>
      <c r="BG15" s="271">
        <f t="shared" si="27"/>
        <v>0.63</v>
      </c>
      <c r="BH15" s="221"/>
      <c r="BI15" s="225">
        <f>N15</f>
        <v>0.2</v>
      </c>
      <c r="BJ15" s="225">
        <f>N15</f>
        <v>0.2</v>
      </c>
      <c r="BK15" s="225">
        <f>N15</f>
        <v>0.2</v>
      </c>
      <c r="BL15" s="271">
        <f t="shared" si="51"/>
        <v>0.60000000000000009</v>
      </c>
      <c r="BM15" s="221"/>
      <c r="BN15" s="225">
        <f>P15</f>
        <v>0.19</v>
      </c>
      <c r="BO15" s="225">
        <f>P15</f>
        <v>0.19</v>
      </c>
      <c r="BP15" s="225">
        <f>P15</f>
        <v>0.19</v>
      </c>
      <c r="BQ15" s="271">
        <f t="shared" si="52"/>
        <v>0.57000000000000006</v>
      </c>
      <c r="BR15" s="221"/>
      <c r="BS15" s="225">
        <f>Q15</f>
        <v>0.18</v>
      </c>
      <c r="BT15" s="225">
        <f>Q15</f>
        <v>0.18</v>
      </c>
      <c r="BU15" s="225">
        <f>Q15</f>
        <v>0.18</v>
      </c>
      <c r="BV15" s="271">
        <f t="shared" si="53"/>
        <v>0.54</v>
      </c>
      <c r="BW15" s="221"/>
      <c r="BX15" s="225">
        <f>R15</f>
        <v>0.16999999999999998</v>
      </c>
      <c r="BY15" s="225">
        <f>R15</f>
        <v>0.16999999999999998</v>
      </c>
      <c r="BZ15" s="225">
        <f>R15</f>
        <v>0.16999999999999998</v>
      </c>
      <c r="CA15" s="271">
        <f t="shared" si="54"/>
        <v>0.51</v>
      </c>
      <c r="CB15" s="221"/>
      <c r="CC15" s="225">
        <f>S15</f>
        <v>0.16</v>
      </c>
      <c r="CD15" s="225">
        <f>S15</f>
        <v>0.16</v>
      </c>
      <c r="CE15" s="225">
        <f>S15</f>
        <v>0.16</v>
      </c>
      <c r="CF15" s="271">
        <f t="shared" si="55"/>
        <v>0.48</v>
      </c>
      <c r="CG15" s="222"/>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row>
    <row r="16" spans="1:175" s="11" customFormat="1" ht="9.75" customHeight="1" x14ac:dyDescent="0.15">
      <c r="A16" s="193" t="s">
        <v>187</v>
      </c>
      <c r="B16" s="317"/>
      <c r="C16" s="318"/>
      <c r="D16" s="300"/>
      <c r="E16" s="301"/>
      <c r="F16" s="451">
        <f>SUM((F18/Y18)-1)/3</f>
        <v>0.11574770425477772</v>
      </c>
      <c r="G16" s="451">
        <f>SUM((G18/F18)-1)/3</f>
        <v>0.46398768323450773</v>
      </c>
      <c r="H16" s="451">
        <f>SUM((H18/G18)-1)/3</f>
        <v>0.25168891544563904</v>
      </c>
      <c r="I16" s="451">
        <f>SUM((I18/H18)-1)/3</f>
        <v>9.3584181011395609E-2</v>
      </c>
      <c r="J16" s="457" t="s">
        <v>50</v>
      </c>
      <c r="K16" s="452">
        <f>SUM((K18/I18)-1)/3</f>
        <v>7.6752734342263526E-2</v>
      </c>
      <c r="L16" s="452">
        <f>SUM((L18/K18)-1)/3</f>
        <v>5.3869995348817902E-2</v>
      </c>
      <c r="M16" s="452">
        <f>SUM((M18/L18)-1)/3</f>
        <v>4.3232017601614325E-2</v>
      </c>
      <c r="N16" s="452">
        <f>SUM((N18/M18)-1)/3</f>
        <v>3.7677180194902959E-2</v>
      </c>
      <c r="O16" s="453">
        <f>SUM(O18/J18)-1</f>
        <v>0.79690736620017488</v>
      </c>
      <c r="P16" s="452">
        <f>SUM((P18/N18)-1)/3</f>
        <v>3.8029563121676047E-2</v>
      </c>
      <c r="Q16" s="452">
        <f>SUM((Q18/P18)-1)/3</f>
        <v>3.8089255556797465E-2</v>
      </c>
      <c r="R16" s="452">
        <f>SUM((R18/Q18)-1)/3</f>
        <v>3.8039015576412462E-2</v>
      </c>
      <c r="S16" s="452">
        <f>SUM((S18/R18)-1)/3</f>
        <v>3.7967062376099404E-2</v>
      </c>
      <c r="T16" s="454">
        <f>SUM(T18/O18)-1</f>
        <v>0.54058909256151044</v>
      </c>
      <c r="U16" s="455">
        <f>SUM(U18/T18)-1</f>
        <v>2.0448789378326886</v>
      </c>
      <c r="V16" s="453">
        <f>SUM(V18/U18)-1</f>
        <v>0.61717206022229099</v>
      </c>
      <c r="W16" s="456">
        <f>SUM(W18/V18)-1</f>
        <v>0.31815063219795636</v>
      </c>
      <c r="X16" s="462"/>
      <c r="Y16" s="503">
        <v>0</v>
      </c>
      <c r="Z16" s="452">
        <f>SUM((Z18/Y18)-1)</f>
        <v>0.27693333333333348</v>
      </c>
      <c r="AA16" s="452">
        <f t="shared" ref="AA16:AB16" si="105">SUM((AA18/Z18)-1)</f>
        <v>4.5510958546517655E-2</v>
      </c>
      <c r="AB16" s="452">
        <f t="shared" si="105"/>
        <v>9.13474370872569E-3</v>
      </c>
      <c r="AC16" s="453">
        <f t="shared" si="9"/>
        <v>0.33157903558857682</v>
      </c>
      <c r="AD16" s="458"/>
      <c r="AE16" s="452">
        <f>SUM((AE18/AB18)-1)</f>
        <v>0.69633881749090087</v>
      </c>
      <c r="AF16" s="452">
        <f>SUM((AF18/AE18)-1)</f>
        <v>0.25351151231899371</v>
      </c>
      <c r="AG16" s="452">
        <f>SUM((AG18/AF18)-1)</f>
        <v>0.12489902258494223</v>
      </c>
      <c r="AH16" s="453">
        <f t="shared" si="10"/>
        <v>1.0747493523948368</v>
      </c>
      <c r="AI16" s="458"/>
      <c r="AJ16" s="452">
        <f>SUM((AJ18/AG18)-1)</f>
        <v>0.29797898540251766</v>
      </c>
      <c r="AK16" s="452">
        <f>SUM((AK18/AJ18)-1)</f>
        <v>0.1918413223830151</v>
      </c>
      <c r="AL16" s="452">
        <f>SUM((AL18/AK18)-1)</f>
        <v>0.13450793462274935</v>
      </c>
      <c r="AM16" s="453">
        <f t="shared" si="11"/>
        <v>0.62432824240828211</v>
      </c>
      <c r="AN16" s="458"/>
      <c r="AO16" s="452">
        <f>SUM((AO18/AL18)-1)</f>
        <v>0.11129579670252521</v>
      </c>
      <c r="AP16" s="452">
        <f>SUM((AP18/AO18)-1)</f>
        <v>8.3262621651639446E-2</v>
      </c>
      <c r="AQ16" s="452">
        <f>SUM((AQ18/AP18)-1)</f>
        <v>6.3902421202789217E-2</v>
      </c>
      <c r="AR16" s="453">
        <f t="shared" si="15"/>
        <v>0.25846083955695387</v>
      </c>
      <c r="AS16" s="458"/>
      <c r="AT16" s="452">
        <f>SUM((AT18/AQ18)-1)</f>
        <v>9.090406181421895E-2</v>
      </c>
      <c r="AU16" s="452">
        <f>SUM((AU18/AT18)-1)</f>
        <v>6.9603376514974391E-2</v>
      </c>
      <c r="AV16" s="452">
        <f>SUM((AV18/AU18)-1)</f>
        <v>5.43552028383949E-2</v>
      </c>
      <c r="AW16" s="453">
        <f t="shared" si="19"/>
        <v>0.21486264116758824</v>
      </c>
      <c r="AX16" s="458"/>
      <c r="AY16" s="452">
        <f>SUM((AY18/AV18)-1)</f>
        <v>6.3605706402258155E-2</v>
      </c>
      <c r="AZ16" s="452">
        <f>SUM((AZ18/AY18)-1)</f>
        <v>5.0126680433610016E-2</v>
      </c>
      <c r="BA16" s="452">
        <f>SUM((BA18/AZ18)-1)</f>
        <v>4.0011126216477733E-2</v>
      </c>
      <c r="BB16" s="453">
        <f t="shared" si="23"/>
        <v>0.1537435130523459</v>
      </c>
      <c r="BC16" s="458"/>
      <c r="BD16" s="452">
        <f>SUM((BD18/BA18)-1)</f>
        <v>5.0885193403500395E-2</v>
      </c>
      <c r="BE16" s="452">
        <f>SUM((BE18/BD18)-1)</f>
        <v>4.0731610217783043E-2</v>
      </c>
      <c r="BF16" s="452">
        <f>SUM((BF18/BE18)-1)</f>
        <v>3.292215506529117E-2</v>
      </c>
      <c r="BG16" s="453">
        <f t="shared" si="27"/>
        <v>0.12453895868657461</v>
      </c>
      <c r="BH16" s="458"/>
      <c r="BI16" s="452">
        <f>SUM((BI18/BF18)-1)</f>
        <v>4.4206438534791559E-2</v>
      </c>
      <c r="BJ16" s="452">
        <f>SUM((BJ18/BI18)-1)</f>
        <v>3.573962378886697E-2</v>
      </c>
      <c r="BK16" s="452">
        <f>SUM((BK18/BJ18)-1)</f>
        <v>2.9130651737003577E-2</v>
      </c>
      <c r="BL16" s="453">
        <f>SUM(BI16:BK16)</f>
        <v>0.10907671406066211</v>
      </c>
      <c r="BM16" s="458"/>
      <c r="BN16" s="452">
        <f>SUM((BN18/BK18)-1)</f>
        <v>4.4294463817135421E-2</v>
      </c>
      <c r="BO16" s="452">
        <f>SUM((BO18/BN18)-1)</f>
        <v>3.6103380838040877E-2</v>
      </c>
      <c r="BP16" s="452">
        <f>SUM((BP18/BO18)-1)</f>
        <v>2.9659660872866755E-2</v>
      </c>
      <c r="BQ16" s="453">
        <f>SUM(BN16:BP16)</f>
        <v>0.11005750552804305</v>
      </c>
      <c r="BR16" s="458"/>
      <c r="BS16" s="452">
        <f>SUM((BS18/BP18)-1)</f>
        <v>4.4041017687015849E-2</v>
      </c>
      <c r="BT16" s="452">
        <f>SUM((BT18/BS18)-1)</f>
        <v>3.6199605760544706E-2</v>
      </c>
      <c r="BU16" s="452">
        <f>SUM((BU18/BT18)-1)</f>
        <v>2.9979506131045497E-2</v>
      </c>
      <c r="BV16" s="453">
        <f>SUM(BS16:BU16)</f>
        <v>0.11022012957860605</v>
      </c>
      <c r="BW16" s="458"/>
      <c r="BX16" s="452">
        <f>SUM((BX18/BU18)-1)</f>
        <v>4.3663233500348175E-2</v>
      </c>
      <c r="BY16" s="452">
        <f>SUM((BY18/BX18)-1)</f>
        <v>3.6193918536888914E-2</v>
      </c>
      <c r="BZ16" s="452">
        <f>SUM((BZ18/BY18)-1)</f>
        <v>3.0218622259719607E-2</v>
      </c>
      <c r="CA16" s="453">
        <f t="shared" si="54"/>
        <v>0.1100757742969567</v>
      </c>
      <c r="CB16" s="458"/>
      <c r="CC16" s="452">
        <f>SUM((CC18/BZ18)-1)</f>
        <v>4.3264303102000357E-2</v>
      </c>
      <c r="CD16" s="452">
        <f>SUM((CD18/CC18)-1)</f>
        <v>3.6166466473752212E-2</v>
      </c>
      <c r="CE16" s="452">
        <f>SUM((CE18/CD18)-1)</f>
        <v>3.0440183140927113E-2</v>
      </c>
      <c r="CF16" s="453">
        <f t="shared" si="55"/>
        <v>0.10987095271667968</v>
      </c>
      <c r="CG16" s="113"/>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row>
    <row r="17" spans="1:175" s="11" customFormat="1" ht="9.75" customHeight="1" x14ac:dyDescent="0.15">
      <c r="A17" s="54" t="s">
        <v>188</v>
      </c>
      <c r="B17" s="319"/>
      <c r="C17" s="320"/>
      <c r="D17" s="204"/>
      <c r="E17" s="205"/>
      <c r="F17" s="99">
        <f>AC17</f>
        <v>520.86466914649986</v>
      </c>
      <c r="G17" s="36">
        <f>AH17</f>
        <v>2812.9689479032631</v>
      </c>
      <c r="H17" s="36">
        <f>AM17</f>
        <v>3649.8670215597767</v>
      </c>
      <c r="I17" s="36">
        <f>AR17</f>
        <v>2381.8205286303846</v>
      </c>
      <c r="J17" s="191">
        <f>SUM(J18-Y18)</f>
        <v>9365.5211672399237</v>
      </c>
      <c r="K17" s="36">
        <f>AW17</f>
        <v>2501.8753789182201</v>
      </c>
      <c r="L17" s="36">
        <f>BB17</f>
        <v>2160.3047693020312</v>
      </c>
      <c r="M17" s="36">
        <f>BG17</f>
        <v>2013.8815697477507</v>
      </c>
      <c r="N17" s="36">
        <f>BL17</f>
        <v>1982.7521378094089</v>
      </c>
      <c r="O17" s="191">
        <f>SUM(O18-J18)</f>
        <v>8658.8138557774182</v>
      </c>
      <c r="P17" s="36">
        <f>BQ17</f>
        <v>2227.5057934997599</v>
      </c>
      <c r="Q17" s="36">
        <f>BV17</f>
        <v>2485.5342710732939</v>
      </c>
      <c r="R17" s="36">
        <f>CA17</f>
        <v>2765.8976654646085</v>
      </c>
      <c r="S17" s="36">
        <f>CF17</f>
        <v>3075.7048229221937</v>
      </c>
      <c r="T17" s="192">
        <f>SUM(T18-O18)</f>
        <v>10554.64255295986</v>
      </c>
      <c r="U17" s="197">
        <f>SUM((U8+(T18*U14))-(T18*U15))</f>
        <v>61507.867716657522</v>
      </c>
      <c r="V17" s="191">
        <f>SUM((V8+(U18*V14))-(U18*V15))</f>
        <v>56524.841998515607</v>
      </c>
      <c r="W17" s="198">
        <f>SUM((W8+(V18*W14))-(V18*W15))</f>
        <v>47121.826947585512</v>
      </c>
      <c r="X17" s="175"/>
      <c r="Y17" s="507">
        <v>1500</v>
      </c>
      <c r="Z17" s="36">
        <f>SUM((Z8+(Y18*Z14))-(Y18*Z15))</f>
        <v>415.40000000000009</v>
      </c>
      <c r="AA17" s="36">
        <f>SUM((AA8+(Z18*AA14))-(Z18*AA15))</f>
        <v>87.171689999999899</v>
      </c>
      <c r="AB17" s="36">
        <f>SUM((AB8+(AA18*AB14))-(AA18*AB15))</f>
        <v>18.292979146499874</v>
      </c>
      <c r="AC17" s="191">
        <f t="shared" si="9"/>
        <v>520.86466914649986</v>
      </c>
      <c r="AD17" s="191"/>
      <c r="AE17" s="36">
        <f>SUM((AE8+(AB18*AE14))-(AB18*AE15))</f>
        <v>1407.2065140226146</v>
      </c>
      <c r="AF17" s="36">
        <f>SUM((AF8+(AE18*AF14))-(AE18*AF15))</f>
        <v>869.05550998236367</v>
      </c>
      <c r="AG17" s="36">
        <f>SUM((AG8+(AF18*AG14))-(AF18*AG15))</f>
        <v>536.70692389828491</v>
      </c>
      <c r="AH17" s="191">
        <f t="shared" si="10"/>
        <v>2812.9689479032631</v>
      </c>
      <c r="AI17" s="191"/>
      <c r="AJ17" s="36">
        <f>SUM((AJ8+(AG18*AJ14))-(AG18*AJ15))</f>
        <v>1440.3808368130706</v>
      </c>
      <c r="AK17" s="36">
        <f>SUM((AK8+(AJ18*AK14))-(AJ18*AK15))</f>
        <v>1203.6535977436722</v>
      </c>
      <c r="AL17" s="36">
        <f>SUM((AL8+(AK18*AL14))-(AK18*AL15))</f>
        <v>1005.8325870030342</v>
      </c>
      <c r="AM17" s="191">
        <f t="shared" si="11"/>
        <v>3649.8670215597767</v>
      </c>
      <c r="AN17" s="191"/>
      <c r="AO17" s="36">
        <f>SUM((AO8+(AL18*AO14))-(AL18*AO15))</f>
        <v>944.20022155977153</v>
      </c>
      <c r="AP17" s="36">
        <f>SUM((AP8+(AO18*AP14))-(AO18*AP15))</f>
        <v>784.99174228944366</v>
      </c>
      <c r="AQ17" s="36">
        <f>SUM((AQ8+(AP18*AQ14))-(AP18*AQ15))</f>
        <v>652.62856478116964</v>
      </c>
      <c r="AR17" s="191">
        <f t="shared" si="15"/>
        <v>2381.8205286303846</v>
      </c>
      <c r="AS17" s="191"/>
      <c r="AT17" s="36">
        <f>SUM((AT8+(AQ18*AT14))-(AQ18*AT15))</f>
        <v>987.72000783048043</v>
      </c>
      <c r="AU17" s="36">
        <f>SUM((AU8+(AT18*AU14))-(AT18*AU15))</f>
        <v>825.02560843122365</v>
      </c>
      <c r="AV17" s="36">
        <f>SUM((AV8+(AU18*AV14))-(AU18*AV15))</f>
        <v>689.12976265651605</v>
      </c>
      <c r="AW17" s="191">
        <f t="shared" si="19"/>
        <v>2501.8753789182201</v>
      </c>
      <c r="AX17" s="191"/>
      <c r="AY17" s="36">
        <f>SUM((AY8+(AV18*AY14))-(AV18*AY15))</f>
        <v>850.2427000774951</v>
      </c>
      <c r="AZ17" s="36">
        <f>SUM((AZ8+(AY18*AZ14))-(AY18*AZ15))</f>
        <v>712.68305901640588</v>
      </c>
      <c r="BA17" s="36">
        <f>SUM((BA8+(AZ18*BA14))-(AZ18*BA15))</f>
        <v>597.37901020813024</v>
      </c>
      <c r="BB17" s="191">
        <f t="shared" si="23"/>
        <v>2160.3047693020312</v>
      </c>
      <c r="BC17" s="191"/>
      <c r="BD17" s="36">
        <f>SUM((BD8+(BA18*BD14))-(BA18*BD15))</f>
        <v>790.13008454897818</v>
      </c>
      <c r="BE17" s="36">
        <f>SUM((BE8+(BD18*BE14))-(BD18*BE15))</f>
        <v>664.65154818467136</v>
      </c>
      <c r="BF17" s="36">
        <f>SUM((BF8+(BE18*BF14))-(BE18*BF15))</f>
        <v>559.09993701410122</v>
      </c>
      <c r="BG17" s="191">
        <f t="shared" si="27"/>
        <v>2013.8815697477507</v>
      </c>
      <c r="BH17" s="191"/>
      <c r="BI17" s="36">
        <f>SUM((BI8+(BF18*BI14))-(BF18*BI15))</f>
        <v>775.4509056178963</v>
      </c>
      <c r="BJ17" s="36">
        <f>SUM((BJ8+(BI18*BJ14))-(BI18*BJ15))</f>
        <v>654.64389661207861</v>
      </c>
      <c r="BK17" s="36">
        <f>SUM((BK8+(BJ18*BK14))-(BJ18*BK15))</f>
        <v>552.65733557943395</v>
      </c>
      <c r="BL17" s="191">
        <f>SUM(BI17:BK17)</f>
        <v>1982.7521378094089</v>
      </c>
      <c r="BM17" s="191"/>
      <c r="BN17" s="36">
        <f>SUM((BN8+(BK18*BN14))-(BK18*BN15))</f>
        <v>864.81995123067009</v>
      </c>
      <c r="BO17" s="36">
        <f>SUM((BO8+(BN18*BO14))-(BN18*BO15))</f>
        <v>736.11742700110926</v>
      </c>
      <c r="BP17" s="36">
        <f>SUM((BP8+(BO18*BP14))-(BO18*BP15))</f>
        <v>626.56841526798053</v>
      </c>
      <c r="BQ17" s="191">
        <f>SUM(BN17:BP17)</f>
        <v>2227.5057934997599</v>
      </c>
      <c r="BR17" s="191"/>
      <c r="BS17" s="36">
        <f>SUM((BS8+(BP18*BS14))-(BP18*BS15))</f>
        <v>957.97320612538579</v>
      </c>
      <c r="BT17" s="36">
        <f>SUM((BT8+(BS18*BT14))-(BS18*BT15))</f>
        <v>822.08631451494739</v>
      </c>
      <c r="BU17" s="36">
        <f>SUM((BU8+(BT18*BU14))-(BT18*BU15))</f>
        <v>705.47475043296072</v>
      </c>
      <c r="BV17" s="191">
        <f>SUM(BS17:BU17)</f>
        <v>2485.5342710732939</v>
      </c>
      <c r="BW17" s="191"/>
      <c r="BX17" s="36">
        <f>SUM((BX8+(BU18*BX14))-(BU18*BX15))</f>
        <v>1058.2821678849814</v>
      </c>
      <c r="BY17" s="36">
        <f>SUM((BY8+(BX18*BY14))-(BX18*BY15))</f>
        <v>915.54895804173793</v>
      </c>
      <c r="BZ17" s="36">
        <f>SUM((BZ8+(BY18*BZ14))-(BY18*BZ15))</f>
        <v>792.06653953788918</v>
      </c>
      <c r="CA17" s="191">
        <f>SUM(BX17:BZ17)</f>
        <v>2765.8976654646085</v>
      </c>
      <c r="CB17" s="191"/>
      <c r="CC17" s="36">
        <f>SUM((CC8+(BZ18*CC14))-(BZ18*CC15))</f>
        <v>1168.2777771341616</v>
      </c>
      <c r="CD17" s="36">
        <f>SUM((CD8+(CC18*CD14))-(CC18*CD15))</f>
        <v>1018.8654377637022</v>
      </c>
      <c r="CE17" s="36">
        <f>SUM((CE8+(CD18*CE14))-(CD18*CE15))</f>
        <v>888.56160802432987</v>
      </c>
      <c r="CF17" s="191">
        <f>SUM(CC17:CE17)</f>
        <v>3075.7048229221937</v>
      </c>
      <c r="CG17" s="198"/>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row>
    <row r="18" spans="1:175" s="9" customFormat="1" ht="9.75" customHeight="1" x14ac:dyDescent="0.15">
      <c r="A18" s="52" t="s">
        <v>189</v>
      </c>
      <c r="B18" s="321"/>
      <c r="C18" s="322"/>
      <c r="D18" s="202"/>
      <c r="E18" s="203"/>
      <c r="F18" s="99">
        <f>AC18</f>
        <v>2020.8646691464999</v>
      </c>
      <c r="G18" s="36">
        <f>AH18</f>
        <v>4833.8336170497632</v>
      </c>
      <c r="H18" s="36">
        <f>AM18</f>
        <v>8483.70063860954</v>
      </c>
      <c r="I18" s="36">
        <f>AR18</f>
        <v>10865.521167239924</v>
      </c>
      <c r="J18" s="191">
        <f>AQ18</f>
        <v>10865.521167239924</v>
      </c>
      <c r="K18" s="36">
        <f>AW18</f>
        <v>13367.396546158145</v>
      </c>
      <c r="L18" s="36">
        <f>BB18</f>
        <v>15527.701315460177</v>
      </c>
      <c r="M18" s="36">
        <f>BG18</f>
        <v>17541.582885207928</v>
      </c>
      <c r="N18" s="36">
        <f>BL18</f>
        <v>19524.335023017342</v>
      </c>
      <c r="O18" s="191">
        <f>BK18</f>
        <v>19524.335023017342</v>
      </c>
      <c r="P18" s="36">
        <f>BQ18</f>
        <v>21751.840816517106</v>
      </c>
      <c r="Q18" s="36">
        <f>BV18</f>
        <v>24237.375087590401</v>
      </c>
      <c r="R18" s="36">
        <f>CA18</f>
        <v>27003.272753055007</v>
      </c>
      <c r="S18" s="36">
        <f>CF18</f>
        <v>30078.977575977202</v>
      </c>
      <c r="T18" s="192">
        <f>CE18</f>
        <v>30078.977575977202</v>
      </c>
      <c r="U18" s="197">
        <f>SUM(T18+U17)</f>
        <v>91586.845292634724</v>
      </c>
      <c r="V18" s="191">
        <f>SUM(U18+V17)</f>
        <v>148111.68729115033</v>
      </c>
      <c r="W18" s="198">
        <f>SUM(V18+W17)</f>
        <v>195233.51423873584</v>
      </c>
      <c r="X18" s="175"/>
      <c r="Y18" s="508">
        <v>1500</v>
      </c>
      <c r="Z18" s="36">
        <f>SUM(Y18+Z17)</f>
        <v>1915.4</v>
      </c>
      <c r="AA18" s="36">
        <f>SUM(Z18+AA17)</f>
        <v>2002.57169</v>
      </c>
      <c r="AB18" s="36">
        <f>SUM(AA18+AB17)</f>
        <v>2020.8646691464999</v>
      </c>
      <c r="AC18" s="191">
        <f>AB18</f>
        <v>2020.8646691464999</v>
      </c>
      <c r="AD18" s="191"/>
      <c r="AE18" s="36">
        <f>SUM(AB18+AE17)</f>
        <v>3428.0711831691142</v>
      </c>
      <c r="AF18" s="36">
        <f>SUM(AE18+AF17)</f>
        <v>4297.1266931514783</v>
      </c>
      <c r="AG18" s="36">
        <f>SUM(AF18+AG17)</f>
        <v>4833.8336170497632</v>
      </c>
      <c r="AH18" s="191">
        <f>AG18</f>
        <v>4833.8336170497632</v>
      </c>
      <c r="AI18" s="191"/>
      <c r="AJ18" s="36">
        <f>SUM(AG18+AJ17)</f>
        <v>6274.2144538628336</v>
      </c>
      <c r="AK18" s="36">
        <f>SUM(AJ18+AK17)</f>
        <v>7477.868051606506</v>
      </c>
      <c r="AL18" s="36">
        <f>SUM(AK18+AL17)</f>
        <v>8483.70063860954</v>
      </c>
      <c r="AM18" s="191">
        <f>AL18</f>
        <v>8483.70063860954</v>
      </c>
      <c r="AN18" s="191"/>
      <c r="AO18" s="36">
        <f>SUM(AL18+AO17)</f>
        <v>9427.9008601693113</v>
      </c>
      <c r="AP18" s="36">
        <f>SUM(AO18+AP17)</f>
        <v>10212.892602458754</v>
      </c>
      <c r="AQ18" s="36">
        <f>SUM(AP18+AQ17)</f>
        <v>10865.521167239924</v>
      </c>
      <c r="AR18" s="191">
        <f>AQ18</f>
        <v>10865.521167239924</v>
      </c>
      <c r="AS18" s="191"/>
      <c r="AT18" s="36">
        <f>SUM(AQ18+AT17)</f>
        <v>11853.241175070405</v>
      </c>
      <c r="AU18" s="36">
        <f>SUM(AT18+AU17)</f>
        <v>12678.266783501629</v>
      </c>
      <c r="AV18" s="36">
        <f>SUM(AU18+AV17)</f>
        <v>13367.396546158145</v>
      </c>
      <c r="AW18" s="191">
        <f>AV18</f>
        <v>13367.396546158145</v>
      </c>
      <c r="AX18" s="191"/>
      <c r="AY18" s="36">
        <f>SUM(AV18+AY17)</f>
        <v>14217.63924623564</v>
      </c>
      <c r="AZ18" s="36">
        <f>SUM(AY18+AZ17)</f>
        <v>14930.322305252046</v>
      </c>
      <c r="BA18" s="36">
        <f>SUM(AZ18+BA17)</f>
        <v>15527.701315460177</v>
      </c>
      <c r="BB18" s="191">
        <f>BA18</f>
        <v>15527.701315460177</v>
      </c>
      <c r="BC18" s="191"/>
      <c r="BD18" s="36">
        <f>SUM(BA18+BD17)</f>
        <v>16317.831400009156</v>
      </c>
      <c r="BE18" s="36">
        <f>SUM(BD18+BE17)</f>
        <v>16982.482948193829</v>
      </c>
      <c r="BF18" s="36">
        <f>SUM(BE18+BF17)</f>
        <v>17541.582885207928</v>
      </c>
      <c r="BG18" s="191">
        <f>BF18</f>
        <v>17541.582885207928</v>
      </c>
      <c r="BH18" s="191"/>
      <c r="BI18" s="36">
        <f>SUM(BF18+BI17)</f>
        <v>18317.033790825826</v>
      </c>
      <c r="BJ18" s="36">
        <f>SUM(BI18+BJ17)</f>
        <v>18971.677687437907</v>
      </c>
      <c r="BK18" s="36">
        <f>SUM(BJ18+BK17)</f>
        <v>19524.335023017342</v>
      </c>
      <c r="BL18" s="191">
        <f>BK18</f>
        <v>19524.335023017342</v>
      </c>
      <c r="BM18" s="191"/>
      <c r="BN18" s="36">
        <f>SUM(BL18+BN17)</f>
        <v>20389.154974248013</v>
      </c>
      <c r="BO18" s="36">
        <f>SUM(BN18+BO17)</f>
        <v>21125.272401249124</v>
      </c>
      <c r="BP18" s="36">
        <f>SUM(BO18+BP17)</f>
        <v>21751.840816517106</v>
      </c>
      <c r="BQ18" s="191">
        <f>BP18</f>
        <v>21751.840816517106</v>
      </c>
      <c r="BR18" s="191"/>
      <c r="BS18" s="36">
        <f>SUM(BP18+BS17)</f>
        <v>22709.814022642491</v>
      </c>
      <c r="BT18" s="36">
        <f>SUM(BS18+BT17)</f>
        <v>23531.90033715744</v>
      </c>
      <c r="BU18" s="36">
        <f>SUM(BT18+BU17)</f>
        <v>24237.375087590401</v>
      </c>
      <c r="BV18" s="191">
        <f>BU18</f>
        <v>24237.375087590401</v>
      </c>
      <c r="BW18" s="191"/>
      <c r="BX18" s="36">
        <f>SUM(BU18+BX17)</f>
        <v>25295.65725547538</v>
      </c>
      <c r="BY18" s="36">
        <f>SUM(BX18+BY17)</f>
        <v>26211.206213517118</v>
      </c>
      <c r="BZ18" s="36">
        <f>SUM(BY18+BZ17)</f>
        <v>27003.272753055007</v>
      </c>
      <c r="CA18" s="191">
        <f>BZ18</f>
        <v>27003.272753055007</v>
      </c>
      <c r="CB18" s="191"/>
      <c r="CC18" s="36">
        <f>SUM(BZ18+CC17)</f>
        <v>28171.550530189168</v>
      </c>
      <c r="CD18" s="36">
        <f>SUM(CC18+CD17)</f>
        <v>29190.415967952871</v>
      </c>
      <c r="CE18" s="36">
        <f>SUM(CD18+CE17)</f>
        <v>30078.977575977202</v>
      </c>
      <c r="CF18" s="191">
        <f>CE18</f>
        <v>30078.977575977202</v>
      </c>
      <c r="CG18" s="198"/>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5"/>
      <c r="B19" s="160"/>
      <c r="C19" s="323"/>
      <c r="D19" s="40"/>
      <c r="E19" s="42"/>
      <c r="F19" s="64"/>
      <c r="G19" s="31"/>
      <c r="H19" s="31"/>
      <c r="I19" s="31"/>
      <c r="J19" s="30"/>
      <c r="K19" s="31"/>
      <c r="L19" s="31"/>
      <c r="M19" s="31"/>
      <c r="N19" s="31"/>
      <c r="O19" s="30"/>
      <c r="P19" s="31"/>
      <c r="Q19" s="31"/>
      <c r="R19" s="31"/>
      <c r="S19" s="31"/>
      <c r="T19" s="108"/>
      <c r="U19" s="160"/>
      <c r="V19" s="31"/>
      <c r="W19" s="65"/>
      <c r="X19" s="169"/>
      <c r="Y19" s="64"/>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56" t="s">
        <v>190</v>
      </c>
      <c r="B20" s="292"/>
      <c r="C20" s="324"/>
      <c r="D20" s="302"/>
      <c r="E20" s="303"/>
      <c r="F20" s="100"/>
      <c r="G20" s="76"/>
      <c r="H20" s="76"/>
      <c r="I20" s="76"/>
      <c r="J20" s="275"/>
      <c r="K20" s="76"/>
      <c r="L20" s="76"/>
      <c r="M20" s="76"/>
      <c r="N20" s="76"/>
      <c r="O20" s="275"/>
      <c r="P20" s="76"/>
      <c r="Q20" s="76"/>
      <c r="R20" s="76"/>
      <c r="S20" s="76"/>
      <c r="T20" s="273"/>
      <c r="U20" s="274"/>
      <c r="V20" s="275"/>
      <c r="W20" s="276"/>
      <c r="X20" s="176"/>
      <c r="Y20" s="505"/>
      <c r="Z20" s="71"/>
      <c r="AA20" s="71"/>
      <c r="AB20" s="71"/>
      <c r="AC20" s="285"/>
      <c r="AD20" s="72"/>
      <c r="AE20" s="71"/>
      <c r="AF20" s="71"/>
      <c r="AG20" s="71"/>
      <c r="AH20" s="285"/>
      <c r="AI20" s="72"/>
      <c r="AJ20" s="71"/>
      <c r="AK20" s="71"/>
      <c r="AL20" s="71"/>
      <c r="AM20" s="285"/>
      <c r="AN20" s="72"/>
      <c r="AO20" s="71"/>
      <c r="AP20" s="71"/>
      <c r="AQ20" s="71"/>
      <c r="AR20" s="285"/>
      <c r="AS20" s="72"/>
      <c r="AT20" s="71"/>
      <c r="AU20" s="71"/>
      <c r="AV20" s="71"/>
      <c r="AW20" s="285"/>
      <c r="AX20" s="72"/>
      <c r="AY20" s="71"/>
      <c r="AZ20" s="71"/>
      <c r="BA20" s="71"/>
      <c r="BB20" s="285"/>
      <c r="BC20" s="72"/>
      <c r="BD20" s="71"/>
      <c r="BE20" s="71"/>
      <c r="BF20" s="71"/>
      <c r="BG20" s="285"/>
      <c r="BH20" s="72"/>
      <c r="BI20" s="71"/>
      <c r="BJ20" s="71"/>
      <c r="BK20" s="71"/>
      <c r="BL20" s="285"/>
      <c r="BM20" s="72"/>
      <c r="BN20" s="71"/>
      <c r="BO20" s="71"/>
      <c r="BP20" s="71"/>
      <c r="BQ20" s="285"/>
      <c r="BR20" s="72"/>
      <c r="BS20" s="71"/>
      <c r="BT20" s="71"/>
      <c r="BU20" s="71"/>
      <c r="BV20" s="285"/>
      <c r="BW20" s="72"/>
      <c r="BX20" s="71"/>
      <c r="BY20" s="71"/>
      <c r="BZ20" s="71"/>
      <c r="CA20" s="285"/>
      <c r="CB20" s="72"/>
      <c r="CC20" s="71"/>
      <c r="CD20" s="71"/>
      <c r="CE20" s="71"/>
      <c r="CF20" s="285"/>
      <c r="CG20" s="89"/>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57" t="s">
        <v>191</v>
      </c>
      <c r="B21" s="367">
        <v>0.2</v>
      </c>
      <c r="C21" s="374">
        <v>0.05</v>
      </c>
      <c r="D21" s="121"/>
      <c r="E21" s="120"/>
      <c r="F21" s="129">
        <v>0</v>
      </c>
      <c r="G21" s="128">
        <v>0</v>
      </c>
      <c r="H21" s="33">
        <f>SUM(IF(ISBLANK(D21),B21,D21))</f>
        <v>0.2</v>
      </c>
      <c r="I21" s="33">
        <f>SUM(IF((1*(IF(ISBLANK(E21),C21,E21)))+IF(ISBLANK(D21),B21,D21) &lt; 0, 0, (1*(IF(ISBLANK(E21),C21,E21)))+IF(ISBLANK(D21),B21,D21)))</f>
        <v>0.25</v>
      </c>
      <c r="J21" s="282">
        <f>SUM(AC21+AH21+AM21+AR21)</f>
        <v>12073.735286282772</v>
      </c>
      <c r="K21" s="33">
        <f>SUM(IF((2*(IF(ISBLANK(E21),C21,E21)))+IF(ISBLANK(D21),B21,D21) &lt; 0, 0, (2*(IF(ISBLANK(E21),C21,E21)))+IF(ISBLANK(D21),B21,D21)))</f>
        <v>0.30000000000000004</v>
      </c>
      <c r="L21" s="33">
        <f>SUM(IF((3*(IF(ISBLANK(E21),C21,E21)))+IF(ISBLANK(D21),B21,D21) &lt; 0, 0, (3*(IF(ISBLANK(E21),C21,E21)))+IF(ISBLANK(D21),B21,D21)))</f>
        <v>0.35000000000000003</v>
      </c>
      <c r="M21" s="33">
        <f>SUM(IF((4*(IF(ISBLANK(E21),C21,E21)))+IF(ISBLANK(D21),B21,D21) &lt; 0, 0, (4*(IF(ISBLANK(E21),C21,E21)))+IF(ISBLANK(D21),B21,D21)))</f>
        <v>0.4</v>
      </c>
      <c r="N21" s="33">
        <f>SUM(IF((5*(IF(ISBLANK(E21),C21,E21)))+IF(ISBLANK(D21),B21,D21) &lt; 0, 0, (5*(IF(ISBLANK(E21),C21,E21)))+IF(ISBLANK(D21),B21,D21)))</f>
        <v>0.45</v>
      </c>
      <c r="O21" s="282">
        <f>SUM(AW21+BB21+BG21+BL21)</f>
        <v>72908.783173791657</v>
      </c>
      <c r="P21" s="33">
        <f>SUM(IF((6*(IF(ISBLANK(E21),C21,E21)))+IF(ISBLANK(D21),B21,D21) &lt; 0, 0, (6*(IF(ISBLANK(E21),C21,E21)))+IF(ISBLANK(D21),B21,D21)))</f>
        <v>0.5</v>
      </c>
      <c r="Q21" s="33">
        <f>SUM(IF((7*(IF(ISBLANK(E21),C21,E21)))+IF(ISBLANK(D21),B21,D21) &lt; 0, 0, (7*(IF(ISBLANK(E21),C21,E21)))+IF(ISBLANK(D21),B21,D21)))</f>
        <v>0.55000000000000004</v>
      </c>
      <c r="R21" s="33">
        <f>SUM(IF((8*(IF(ISBLANK(E21),C21,E21)))+IF(ISBLANK(D21),B21,D21) &lt; 0, 0, (8*(IF(ISBLANK(E21),C21,E21)))+IF(ISBLANK(D21),B21,D21)))</f>
        <v>0.60000000000000009</v>
      </c>
      <c r="S21" s="33">
        <f>SUM(IF((9*(IF(ISBLANK(E21),C21,E21)))+IF(ISBLANK(D21),B21,D21) &lt; 0, 0, (9*(IF(ISBLANK(E21),C21,E21)))+IF(ISBLANK(D21),B21,D21)))</f>
        <v>0.65</v>
      </c>
      <c r="T21" s="305">
        <f>SUM(BQ21+BV21+CA21+CF21)</f>
        <v>174339.32867347781</v>
      </c>
      <c r="U21" s="278">
        <f>SUM(IF((11*(IF(ISBLANK(E21),C21,E21)))+IF(ISBLANK(D21),B21,D21) &lt; 0, 0, (11*(IF(ISBLANK(E21),C21,E21)))+IF(ISBLANK(D21),B21,D21)))*12</f>
        <v>9</v>
      </c>
      <c r="V21" s="279">
        <f>SUM(IF((13*(IF(ISBLANK(E21),C21,E21)))+IF(ISBLANK(D21),B21,D21) &lt; 0, 0, (13*(IF(ISBLANK(E21),C21,E21)))+IF(ISBLANK(D21),B21,D21)))*12</f>
        <v>10.200000000000001</v>
      </c>
      <c r="W21" s="280">
        <f>SUM(IF((15*(IF(ISBLANK(E21),C21,E21)))+IF(ISBLANK(D21),B21,D21) &lt; 0, 0, (15*(IF(ISBLANK(E21),C21,E21)))+IF(ISBLANK(D21),B21,D21)))*12</f>
        <v>11.399999999999999</v>
      </c>
      <c r="X21" s="177"/>
      <c r="Y21" s="505">
        <v>0</v>
      </c>
      <c r="Z21" s="73">
        <f>SUM(Z18*F21)</f>
        <v>0</v>
      </c>
      <c r="AA21" s="73">
        <f>SUM(AA18*F21)</f>
        <v>0</v>
      </c>
      <c r="AB21" s="73">
        <f>SUM(AB18*F21)</f>
        <v>0</v>
      </c>
      <c r="AC21" s="282">
        <f t="shared" ref="AC21:AC29" si="106">SUM(Z21:AB21)</f>
        <v>0</v>
      </c>
      <c r="AD21" s="74"/>
      <c r="AE21" s="73">
        <f>SUM(AE18*G21)</f>
        <v>0</v>
      </c>
      <c r="AF21" s="73">
        <f>SUM(AF18*G21)</f>
        <v>0</v>
      </c>
      <c r="AG21" s="73">
        <f>SUM(AG18*G21)</f>
        <v>0</v>
      </c>
      <c r="AH21" s="282">
        <f t="shared" ref="AH21:AH29" si="107">SUM(AE21:AG21)</f>
        <v>0</v>
      </c>
      <c r="AI21" s="74"/>
      <c r="AJ21" s="73">
        <f>SUM(AJ18*H21)</f>
        <v>1254.8428907725668</v>
      </c>
      <c r="AK21" s="73">
        <f>SUM(AK18*H21)</f>
        <v>1495.5736103213012</v>
      </c>
      <c r="AL21" s="73">
        <f>SUM(AL18*H21)</f>
        <v>1696.740127721908</v>
      </c>
      <c r="AM21" s="282">
        <f t="shared" ref="AM21:AM29" si="108">SUM(AJ21:AL21)</f>
        <v>4447.1566288157755</v>
      </c>
      <c r="AN21" s="74"/>
      <c r="AO21" s="73">
        <f>SUM(AO18*I21)</f>
        <v>2356.9752150423278</v>
      </c>
      <c r="AP21" s="73">
        <f>SUM(AP18*I21)</f>
        <v>2553.2231506146886</v>
      </c>
      <c r="AQ21" s="73">
        <f>SUM(AQ18*I21)</f>
        <v>2716.3802918099809</v>
      </c>
      <c r="AR21" s="282">
        <f t="shared" ref="AR21:AR29" si="109">SUM(AO21:AQ21)</f>
        <v>7626.5786574669974</v>
      </c>
      <c r="AS21" s="74"/>
      <c r="AT21" s="73">
        <f>SUM(AT18*K21)</f>
        <v>3555.972352521122</v>
      </c>
      <c r="AU21" s="73">
        <f>SUM(AU18*K21)</f>
        <v>3803.4800350504893</v>
      </c>
      <c r="AV21" s="73">
        <f>SUM(AV18*K21)</f>
        <v>4010.2189638474442</v>
      </c>
      <c r="AW21" s="282">
        <f t="shared" ref="AW21:AW29" si="110">SUM(AT21:AV21)</f>
        <v>11369.671351419056</v>
      </c>
      <c r="AX21" s="74"/>
      <c r="AY21" s="73">
        <f>SUM(AY18*L21)</f>
        <v>4976.1737361824744</v>
      </c>
      <c r="AZ21" s="73">
        <f>SUM(AZ18*L21)</f>
        <v>5225.6128068382168</v>
      </c>
      <c r="BA21" s="73">
        <f>SUM(BA18*L21)</f>
        <v>5434.6954604110624</v>
      </c>
      <c r="BB21" s="282">
        <f t="shared" ref="BB21:BB29" si="111">SUM(AY21:BA21)</f>
        <v>15636.482003431753</v>
      </c>
      <c r="BC21" s="74"/>
      <c r="BD21" s="73">
        <f>SUM(BD18*M21)</f>
        <v>6527.1325600036625</v>
      </c>
      <c r="BE21" s="73">
        <f>SUM(BE18*M21)</f>
        <v>6792.9931792775315</v>
      </c>
      <c r="BF21" s="73">
        <f>SUM(BF18*M21)</f>
        <v>7016.6331540831716</v>
      </c>
      <c r="BG21" s="282">
        <f t="shared" ref="BG21:BG29" si="112">SUM(BD21:BF21)</f>
        <v>20336.758893364364</v>
      </c>
      <c r="BH21" s="74"/>
      <c r="BI21" s="73">
        <f>SUM(BI18*N21)</f>
        <v>8242.6652058716227</v>
      </c>
      <c r="BJ21" s="73">
        <f>SUM(BJ18*N21)</f>
        <v>8537.2549593470576</v>
      </c>
      <c r="BK21" s="73">
        <f>SUM(BK18*N21)</f>
        <v>8785.950760357804</v>
      </c>
      <c r="BL21" s="282">
        <f t="shared" ref="BL21:BL29" si="113">SUM(BI21:BK21)</f>
        <v>25565.870925576484</v>
      </c>
      <c r="BM21" s="74"/>
      <c r="BN21" s="73">
        <f>SUM(BN18*P21)</f>
        <v>10194.577487124006</v>
      </c>
      <c r="BO21" s="73">
        <f>SUM(BO18*P21)</f>
        <v>10562.636200624562</v>
      </c>
      <c r="BP21" s="73">
        <f>SUM(BP18*P21)</f>
        <v>10875.920408258553</v>
      </c>
      <c r="BQ21" s="282">
        <f t="shared" ref="BQ21:BQ29" si="114">SUM(BN21:BP21)</f>
        <v>31633.134096007121</v>
      </c>
      <c r="BR21" s="74"/>
      <c r="BS21" s="73">
        <f>SUM(BS18*Q21)</f>
        <v>12490.39771245337</v>
      </c>
      <c r="BT21" s="73">
        <f>SUM(BT18*Q21)</f>
        <v>12942.545185436593</v>
      </c>
      <c r="BU21" s="73">
        <f>SUM(BU18*Q21)</f>
        <v>13330.556298174721</v>
      </c>
      <c r="BV21" s="282">
        <f t="shared" ref="BV21:BV29" si="115">SUM(BS21:BU21)</f>
        <v>38763.499196064688</v>
      </c>
      <c r="BW21" s="74"/>
      <c r="BX21" s="73">
        <f>SUM(BX18*R21)</f>
        <v>15177.39435328523</v>
      </c>
      <c r="BY21" s="73">
        <f>SUM(BY18*R21)</f>
        <v>15726.723728110273</v>
      </c>
      <c r="BZ21" s="73">
        <f>SUM(BZ18*R21)</f>
        <v>16201.963651833006</v>
      </c>
      <c r="CA21" s="282">
        <f t="shared" ref="CA21:CA29" si="116">SUM(BX21:BZ21)</f>
        <v>47106.081733228508</v>
      </c>
      <c r="CB21" s="74"/>
      <c r="CC21" s="73">
        <f>SUM(CC18*S21)</f>
        <v>18311.50784462296</v>
      </c>
      <c r="CD21" s="73">
        <f>SUM(CD18*S21)</f>
        <v>18973.770379169368</v>
      </c>
      <c r="CE21" s="73">
        <f>SUM(CE18*S21)</f>
        <v>19551.335424385183</v>
      </c>
      <c r="CF21" s="282">
        <f t="shared" ref="CF21:CF29" si="117">SUM(CC21:CE21)</f>
        <v>56836.613648177503</v>
      </c>
      <c r="CG21" s="88"/>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57" t="s">
        <v>192</v>
      </c>
      <c r="B22" s="367">
        <v>0.15</v>
      </c>
      <c r="C22" s="374">
        <v>0.05</v>
      </c>
      <c r="D22" s="121"/>
      <c r="E22" s="120"/>
      <c r="F22" s="129">
        <v>0</v>
      </c>
      <c r="G22" s="128">
        <v>0</v>
      </c>
      <c r="H22" s="33">
        <f t="shared" ref="H22" si="118">SUM(IF(ISBLANK(D22),B22,D22))</f>
        <v>0.15</v>
      </c>
      <c r="I22" s="33">
        <f t="shared" ref="I22" si="119">SUM(IF((1*(IF(ISBLANK(E22),C22,E22)))+IF(ISBLANK(D22),B22,D22) &lt; 0, 0, (1*(IF(ISBLANK(E22),C22,E22)))+IF(ISBLANK(D22),B22,D22)))</f>
        <v>0.2</v>
      </c>
      <c r="J22" s="282">
        <f>SUM(AC22+AH22+AM22+AR22)</f>
        <v>6101.2629259735986</v>
      </c>
      <c r="K22" s="33">
        <f t="shared" ref="K22" si="120">SUM(IF((2*(IF(ISBLANK(E22),C22,E22)))+IF(ISBLANK(D22),B22,D22) &lt; 0, 0, (2*(IF(ISBLANK(E22),C22,E22)))+IF(ISBLANK(D22),B22,D22)))</f>
        <v>0.25</v>
      </c>
      <c r="L22" s="33">
        <f t="shared" ref="L22" si="121">SUM(IF((3*(IF(ISBLANK(E22),C22,E22)))+IF(ISBLANK(D22),B22,D22) &lt; 0, 0, (3*(IF(ISBLANK(E22),C22,E22)))+IF(ISBLANK(D22),B22,D22)))</f>
        <v>0.30000000000000004</v>
      </c>
      <c r="M22" s="33">
        <f t="shared" ref="M22" si="122">SUM(IF((4*(IF(ISBLANK(E22),C22,E22)))+IF(ISBLANK(D22),B22,D22) &lt; 0, 0, (4*(IF(ISBLANK(E22),C22,E22)))+IF(ISBLANK(D22),B22,D22)))</f>
        <v>0.35</v>
      </c>
      <c r="N22" s="33">
        <f t="shared" ref="N22" si="123">SUM(IF((5*(IF(ISBLANK(E22),C22,E22)))+IF(ISBLANK(D22),B22,D22) &lt; 0, 0, (5*(IF(ISBLANK(E22),C22,E22)))+IF(ISBLANK(D22),B22,D22)))</f>
        <v>0.4</v>
      </c>
      <c r="O22" s="282">
        <f t="shared" ref="O22:O29" si="124">SUM(AW22+BB22+BG22+BL22)</f>
        <v>63397.307618473154</v>
      </c>
      <c r="P22" s="33">
        <f t="shared" ref="P22" si="125">SUM(IF((6*(IF(ISBLANK(E22),C22,E22)))+IF(ISBLANK(D22),B22,D22) &lt; 0, 0, (6*(IF(ISBLANK(E22),C22,E22)))+IF(ISBLANK(D22),B22,D22)))</f>
        <v>0.45000000000000007</v>
      </c>
      <c r="Q22" s="33">
        <f t="shared" ref="Q22" si="126">SUM(IF((7*(IF(ISBLANK(E22),C22,E22)))+IF(ISBLANK(D22),B22,D22) &lt; 0, 0, (7*(IF(ISBLANK(E22),C22,E22)))+IF(ISBLANK(D22),B22,D22)))</f>
        <v>0.5</v>
      </c>
      <c r="R22" s="33">
        <f t="shared" ref="R22" si="127">SUM(IF((8*(IF(ISBLANK(E22),C22,E22)))+IF(ISBLANK(D22),B22,D22) &lt; 0, 0, (8*(IF(ISBLANK(E22),C22,E22)))+IF(ISBLANK(D22),B22,D22)))</f>
        <v>0.55000000000000004</v>
      </c>
      <c r="S22" s="33">
        <f t="shared" ref="S22" si="128">SUM(IF((9*(IF(ISBLANK(E22),C22,E22)))+IF(ISBLANK(D22),B22,D22) &lt; 0, 0, (9*(IF(ISBLANK(E22),C22,E22)))+IF(ISBLANK(D22),B22,D22)))</f>
        <v>0.6</v>
      </c>
      <c r="T22" s="305">
        <f t="shared" ref="T22:T29" si="129">SUM(BQ22+BV22+CA22+CF22)</f>
        <v>159354.50677669927</v>
      </c>
      <c r="U22" s="278">
        <f>SUM(IF((11*(IF(ISBLANK(E22),C22,E22)))+IF(ISBLANK(D22),B22,D22) &lt; 0, 0, (11*(IF(ISBLANK(E22),C22,E22)))+IF(ISBLANK(D22),B22,D22)))*12</f>
        <v>8.4</v>
      </c>
      <c r="V22" s="279">
        <f>SUM(IF((13*(IF(ISBLANK(E22),C22,E22)))+IF(ISBLANK(D22),B22,D22) &lt; 0, 0, (13*(IF(ISBLANK(E22),C22,E22)))+IF(ISBLANK(D22),B22,D22)))*12</f>
        <v>9.6000000000000014</v>
      </c>
      <c r="W22" s="280">
        <f>SUM(IF((15*(IF(ISBLANK(E22),C22,E22)))+IF(ISBLANK(D22),B22,D22) &lt; 0, 0, (15*(IF(ISBLANK(E22),C22,E22)))+IF(ISBLANK(D22),B22,D22)))*12</f>
        <v>10.8</v>
      </c>
      <c r="X22" s="177"/>
      <c r="Y22" s="505">
        <v>0</v>
      </c>
      <c r="Z22" s="73">
        <f>SUM(Z18*F22)</f>
        <v>0</v>
      </c>
      <c r="AA22" s="73">
        <f>SUM(AA18*F22)</f>
        <v>0</v>
      </c>
      <c r="AB22" s="73">
        <f>SUM(AB18*F22)</f>
        <v>0</v>
      </c>
      <c r="AC22" s="282">
        <f t="shared" si="106"/>
        <v>0</v>
      </c>
      <c r="AD22" s="74"/>
      <c r="AE22" s="73">
        <f>SUM(AE18*G22)</f>
        <v>0</v>
      </c>
      <c r="AF22" s="73">
        <f>SUM(AF18*G22)</f>
        <v>0</v>
      </c>
      <c r="AG22" s="73">
        <f>SUM(AG18*G22)</f>
        <v>0</v>
      </c>
      <c r="AH22" s="282">
        <f t="shared" si="107"/>
        <v>0</v>
      </c>
      <c r="AI22" s="74"/>
      <c r="AJ22" s="73">
        <f t="shared" ref="AJ22:AJ28" si="130">SUM(AJ19*H22)</f>
        <v>0</v>
      </c>
      <c r="AK22" s="73">
        <f t="shared" ref="AK22:AK28" si="131">SUM(AK19*H22)</f>
        <v>0</v>
      </c>
      <c r="AL22" s="73">
        <f t="shared" ref="AL22:AL28" si="132">SUM(AL19*H22)</f>
        <v>0</v>
      </c>
      <c r="AM22" s="282">
        <f t="shared" si="108"/>
        <v>0</v>
      </c>
      <c r="AN22" s="74"/>
      <c r="AO22" s="73">
        <f>SUM(AO18*I22)</f>
        <v>1885.5801720338623</v>
      </c>
      <c r="AP22" s="73">
        <f>SUM(AP18*I22)</f>
        <v>2042.5785204917511</v>
      </c>
      <c r="AQ22" s="73">
        <f>SUM(AQ18*I22)</f>
        <v>2173.1042334479848</v>
      </c>
      <c r="AR22" s="282">
        <f t="shared" si="109"/>
        <v>6101.2629259735986</v>
      </c>
      <c r="AS22" s="74"/>
      <c r="AT22" s="73">
        <f>SUM(AT18*K22)</f>
        <v>2963.3102937676013</v>
      </c>
      <c r="AU22" s="73">
        <f>SUM(AU18*K22)</f>
        <v>3169.5666958754073</v>
      </c>
      <c r="AV22" s="73">
        <f>SUM(AV18*K22)</f>
        <v>3341.8491365395362</v>
      </c>
      <c r="AW22" s="282">
        <f t="shared" si="110"/>
        <v>9474.7261261825442</v>
      </c>
      <c r="AX22" s="74"/>
      <c r="AY22" s="73">
        <f>SUM(AY18*L22)</f>
        <v>4265.2917738706929</v>
      </c>
      <c r="AZ22" s="73">
        <f>SUM(AZ18*L22)</f>
        <v>4479.0966915756144</v>
      </c>
      <c r="BA22" s="73">
        <f>SUM(BA18*L22)</f>
        <v>4658.3103946380543</v>
      </c>
      <c r="BB22" s="282">
        <f t="shared" si="111"/>
        <v>13402.698860084362</v>
      </c>
      <c r="BC22" s="74"/>
      <c r="BD22" s="73">
        <f>SUM(BD18*M22)</f>
        <v>5711.2409900032044</v>
      </c>
      <c r="BE22" s="73">
        <f>SUM(BE18*M22)</f>
        <v>5943.86903186784</v>
      </c>
      <c r="BF22" s="73">
        <f>SUM(BF18*M22)</f>
        <v>6139.5540098227748</v>
      </c>
      <c r="BG22" s="282">
        <f t="shared" si="112"/>
        <v>17794.664031693821</v>
      </c>
      <c r="BH22" s="74"/>
      <c r="BI22" s="73">
        <f>SUM(BI18*N22)</f>
        <v>7326.8135163303305</v>
      </c>
      <c r="BJ22" s="73">
        <f>SUM(BJ18*N22)</f>
        <v>7588.6710749751628</v>
      </c>
      <c r="BK22" s="73">
        <f>SUM(BK18*N22)</f>
        <v>7809.7340092069371</v>
      </c>
      <c r="BL22" s="282">
        <f t="shared" si="113"/>
        <v>22725.218600512431</v>
      </c>
      <c r="BM22" s="74"/>
      <c r="BN22" s="73">
        <f>SUM(BN18*P22)</f>
        <v>9175.1197384116076</v>
      </c>
      <c r="BO22" s="73">
        <f>SUM(BO18*P22)</f>
        <v>9506.372580562107</v>
      </c>
      <c r="BP22" s="73">
        <f>SUM(BP18*P22)</f>
        <v>9788.3283674326995</v>
      </c>
      <c r="BQ22" s="282">
        <f t="shared" si="114"/>
        <v>28469.820686406416</v>
      </c>
      <c r="BR22" s="74"/>
      <c r="BS22" s="73">
        <f>SUM(BS18*Q22)</f>
        <v>11354.907011321246</v>
      </c>
      <c r="BT22" s="73">
        <f>SUM(BT18*Q22)</f>
        <v>11765.95016857872</v>
      </c>
      <c r="BU22" s="73">
        <f>SUM(BU18*Q22)</f>
        <v>12118.6875437952</v>
      </c>
      <c r="BV22" s="282">
        <f t="shared" si="115"/>
        <v>35239.544723695166</v>
      </c>
      <c r="BW22" s="74"/>
      <c r="BX22" s="73">
        <f>SUM(BX18*R22)</f>
        <v>13912.611490511461</v>
      </c>
      <c r="BY22" s="73">
        <f>SUM(BY18*R22)</f>
        <v>14416.163417434416</v>
      </c>
      <c r="BZ22" s="73">
        <f>SUM(BZ18*R22)</f>
        <v>14851.800014180255</v>
      </c>
      <c r="CA22" s="282">
        <f t="shared" si="116"/>
        <v>43180.574922126136</v>
      </c>
      <c r="CB22" s="74"/>
      <c r="CC22" s="73">
        <f>SUM(CC18*S22)</f>
        <v>16902.9303181135</v>
      </c>
      <c r="CD22" s="73">
        <f>SUM(CD18*S22)</f>
        <v>17514.249580771721</v>
      </c>
      <c r="CE22" s="73">
        <f>SUM(CE18*S22)</f>
        <v>18047.38654558632</v>
      </c>
      <c r="CF22" s="282">
        <f t="shared" si="117"/>
        <v>52464.566444471544</v>
      </c>
      <c r="CG22" s="88"/>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57" t="s">
        <v>193</v>
      </c>
      <c r="B23" s="367">
        <v>0</v>
      </c>
      <c r="C23" s="304">
        <v>0</v>
      </c>
      <c r="D23" s="121"/>
      <c r="E23" s="120"/>
      <c r="F23" s="129">
        <v>0</v>
      </c>
      <c r="G23" s="128">
        <v>0</v>
      </c>
      <c r="H23" s="360">
        <v>0</v>
      </c>
      <c r="I23" s="360">
        <v>0</v>
      </c>
      <c r="J23" s="282">
        <f t="shared" ref="J23:J29" si="133">SUM(AC23+AH23+AM23+AR23)</f>
        <v>0</v>
      </c>
      <c r="K23" s="33">
        <f>SUM(IF((0*(IF(ISBLANK(E23),C23,E23)))+IF(ISBLANK(D23),B23,D23) &lt; 0, 0, (0*(IF(ISBLANK(E23),C23,E23)))+IF(ISBLANK(D23),B23,D23)))</f>
        <v>0</v>
      </c>
      <c r="L23" s="33">
        <f>SUM(IF((1*(IF(ISBLANK(E23),C23,E23)))+IF(ISBLANK(D23),B23,D23) &lt; 0, 0, (1*(IF(ISBLANK(E23),C23,E23)))+IF(ISBLANK(D23),B23,D23)))</f>
        <v>0</v>
      </c>
      <c r="M23" s="33">
        <f>SUM(IF((2*(IF(ISBLANK(E23),C23,E23)))+IF(ISBLANK(D23),B23,D23) &lt; 0, 0, (2*(IF(ISBLANK(E23),C23,E23)))+IF(ISBLANK(D23),B23,D23)))</f>
        <v>0</v>
      </c>
      <c r="N23" s="33">
        <f>SUM(IF((3*(IF(ISBLANK(E23),C23,E23)))+IF(ISBLANK(D23),B23,D23) &lt; 0, 0, (3*(IF(ISBLANK(E23),C23,E23)))+IF(ISBLANK(D23),B23,D23)))</f>
        <v>0</v>
      </c>
      <c r="O23" s="282">
        <f t="shared" si="124"/>
        <v>0</v>
      </c>
      <c r="P23" s="33">
        <f>SUM(IF((4*(IF(ISBLANK(E23),C23,E23)))+IF(ISBLANK(D23),B23,D23) &lt; 0, 0, (4*(IF(ISBLANK(E23),C23,E23)))+IF(ISBLANK(D23),B23,D23)))</f>
        <v>0</v>
      </c>
      <c r="Q23" s="33">
        <f>SUM(IF((5*(IF(ISBLANK(E23),C23,E23)))+IF(ISBLANK(D23),B23,D23) &lt; 0, 0, (5*(IF(ISBLANK(E23),C23,E23)))+IF(ISBLANK(D23),B23,D23)))</f>
        <v>0</v>
      </c>
      <c r="R23" s="33">
        <f>SUM(IF((6*(IF(ISBLANK(E23),C23,E23)))+IF(ISBLANK(D23),B23,D23) &lt; 0, 0, (6*(IF(ISBLANK(E23),C23,E23)))+IF(ISBLANK(D23),B23,D23)))</f>
        <v>0</v>
      </c>
      <c r="S23" s="33">
        <f>SUM(IF((7*(IF(ISBLANK(E23),C23,E23)))+IF(ISBLANK(D23),B23,D23) &lt; 0, 0, (7*(IF(ISBLANK(E23),C23,E23)))+IF(ISBLANK(D23),B23,D23)))</f>
        <v>0</v>
      </c>
      <c r="T23" s="305">
        <f t="shared" si="129"/>
        <v>0</v>
      </c>
      <c r="U23" s="278">
        <f>SUM(IF((9*(IF(ISBLANK(E23),C23,E23)))+IF(ISBLANK(D23),B23,D23) &lt; 0, 0, (9*(IF(ISBLANK(E23),C23,E23)))+IF(ISBLANK(D23),B23,D23)))*12</f>
        <v>0</v>
      </c>
      <c r="V23" s="279">
        <f>SUM(IF((11*(IF(ISBLANK(E23),C23,E23)))+IF(ISBLANK(D23),B23,D23) &lt; 0, 0, (11*(IF(ISBLANK(E23),C23,E23)))+IF(ISBLANK(D23),B23,D23)))*12</f>
        <v>0</v>
      </c>
      <c r="W23" s="280">
        <f>SUM(IF((13*(IF(ISBLANK(E23),C23,E23)))+IF(ISBLANK(D23),B23,D23) &lt; 0, 0, (13*(IF(ISBLANK(E23),C23,E23)))+IF(ISBLANK(D23),B23,D23)))*12</f>
        <v>0</v>
      </c>
      <c r="X23" s="177"/>
      <c r="Y23" s="505">
        <v>0</v>
      </c>
      <c r="Z23" s="73">
        <f>SUM(Z18*F23)</f>
        <v>0</v>
      </c>
      <c r="AA23" s="73">
        <f>SUM(AA18*F23)</f>
        <v>0</v>
      </c>
      <c r="AB23" s="73">
        <f>SUM(AB18*F23)</f>
        <v>0</v>
      </c>
      <c r="AC23" s="282">
        <f t="shared" si="106"/>
        <v>0</v>
      </c>
      <c r="AD23" s="74"/>
      <c r="AE23" s="73">
        <f>SUM(AE18*G23)</f>
        <v>0</v>
      </c>
      <c r="AF23" s="73">
        <f>SUM(AF18*G23)</f>
        <v>0</v>
      </c>
      <c r="AG23" s="73">
        <f>SUM(AG18*G23)</f>
        <v>0</v>
      </c>
      <c r="AH23" s="282">
        <f t="shared" si="107"/>
        <v>0</v>
      </c>
      <c r="AI23" s="74"/>
      <c r="AJ23" s="73">
        <f t="shared" si="130"/>
        <v>0</v>
      </c>
      <c r="AK23" s="73">
        <f t="shared" si="131"/>
        <v>0</v>
      </c>
      <c r="AL23" s="73">
        <f t="shared" si="132"/>
        <v>0</v>
      </c>
      <c r="AM23" s="282">
        <f t="shared" si="108"/>
        <v>0</v>
      </c>
      <c r="AN23" s="74"/>
      <c r="AO23" s="73">
        <f>SUM(AO18*I23)</f>
        <v>0</v>
      </c>
      <c r="AP23" s="73">
        <f>SUM(AP18*I23)</f>
        <v>0</v>
      </c>
      <c r="AQ23" s="73">
        <f>SUM(AQ18*I23)</f>
        <v>0</v>
      </c>
      <c r="AR23" s="282">
        <f t="shared" si="109"/>
        <v>0</v>
      </c>
      <c r="AS23" s="74"/>
      <c r="AT23" s="73">
        <f>SUM(AT18*K23)</f>
        <v>0</v>
      </c>
      <c r="AU23" s="73">
        <f>SUM(AU18*K23)</f>
        <v>0</v>
      </c>
      <c r="AV23" s="73">
        <f>SUM(AV18*K23)</f>
        <v>0</v>
      </c>
      <c r="AW23" s="282">
        <f t="shared" si="110"/>
        <v>0</v>
      </c>
      <c r="AX23" s="74"/>
      <c r="AY23" s="73">
        <f>SUM(AY18*L23)</f>
        <v>0</v>
      </c>
      <c r="AZ23" s="73">
        <f>SUM(AZ18*L23)</f>
        <v>0</v>
      </c>
      <c r="BA23" s="73">
        <f>SUM(BA18*L23)</f>
        <v>0</v>
      </c>
      <c r="BB23" s="282">
        <f t="shared" si="111"/>
        <v>0</v>
      </c>
      <c r="BC23" s="74"/>
      <c r="BD23" s="73">
        <f>SUM(BD18*M23)</f>
        <v>0</v>
      </c>
      <c r="BE23" s="73">
        <f>SUM(BE18*M23)</f>
        <v>0</v>
      </c>
      <c r="BF23" s="73">
        <f>SUM(BF18*M23)</f>
        <v>0</v>
      </c>
      <c r="BG23" s="282">
        <f t="shared" si="112"/>
        <v>0</v>
      </c>
      <c r="BH23" s="74"/>
      <c r="BI23" s="73">
        <f>SUM(BI18*N23)</f>
        <v>0</v>
      </c>
      <c r="BJ23" s="73">
        <f>SUM(BJ18*N23)</f>
        <v>0</v>
      </c>
      <c r="BK23" s="73">
        <f>SUM(BK18*N23)</f>
        <v>0</v>
      </c>
      <c r="BL23" s="282">
        <f t="shared" si="113"/>
        <v>0</v>
      </c>
      <c r="BM23" s="74"/>
      <c r="BN23" s="73">
        <f>SUM(BN18*P23)</f>
        <v>0</v>
      </c>
      <c r="BO23" s="73">
        <f>SUM(BO18*P23)</f>
        <v>0</v>
      </c>
      <c r="BP23" s="73">
        <f>SUM(BP18*P23)</f>
        <v>0</v>
      </c>
      <c r="BQ23" s="282">
        <f t="shared" si="114"/>
        <v>0</v>
      </c>
      <c r="BR23" s="74"/>
      <c r="BS23" s="73">
        <f>SUM(BS18*Q23)</f>
        <v>0</v>
      </c>
      <c r="BT23" s="73">
        <f>SUM(BT18*Q23)</f>
        <v>0</v>
      </c>
      <c r="BU23" s="73">
        <f>SUM(BU18*Q23)</f>
        <v>0</v>
      </c>
      <c r="BV23" s="282">
        <f t="shared" si="115"/>
        <v>0</v>
      </c>
      <c r="BW23" s="74"/>
      <c r="BX23" s="73">
        <f>SUM(BX18*R23)</f>
        <v>0</v>
      </c>
      <c r="BY23" s="73">
        <f>SUM(BY18*R23)</f>
        <v>0</v>
      </c>
      <c r="BZ23" s="73">
        <f>SUM(BZ18*R23)</f>
        <v>0</v>
      </c>
      <c r="CA23" s="282">
        <f t="shared" si="116"/>
        <v>0</v>
      </c>
      <c r="CB23" s="74"/>
      <c r="CC23" s="73">
        <f>SUM(CC18*S23)</f>
        <v>0</v>
      </c>
      <c r="CD23" s="73">
        <f>SUM(CD18*S23)</f>
        <v>0</v>
      </c>
      <c r="CE23" s="73">
        <f>SUM(CE18*S23)</f>
        <v>0</v>
      </c>
      <c r="CF23" s="282">
        <f t="shared" si="117"/>
        <v>0</v>
      </c>
      <c r="CG23" s="88"/>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57" t="s">
        <v>194</v>
      </c>
      <c r="B24" s="367">
        <v>0</v>
      </c>
      <c r="C24" s="304">
        <v>0</v>
      </c>
      <c r="D24" s="121"/>
      <c r="E24" s="120"/>
      <c r="F24" s="129">
        <v>0</v>
      </c>
      <c r="G24" s="128">
        <v>0</v>
      </c>
      <c r="H24" s="360">
        <v>0</v>
      </c>
      <c r="I24" s="360">
        <v>0</v>
      </c>
      <c r="J24" s="282">
        <f t="shared" si="133"/>
        <v>0</v>
      </c>
      <c r="K24" s="33">
        <f>SUM(IF((0*(IF(ISBLANK(E24),C24,E24)))+IF(ISBLANK(D24),B24,D24) &lt; 0, 0, (0*(IF(ISBLANK(E24),C24,E24)))+IF(ISBLANK(D24),B24,D24)))</f>
        <v>0</v>
      </c>
      <c r="L24" s="33">
        <f>SUM(IF((1*(IF(ISBLANK(E24),C24,E24)))+IF(ISBLANK(D24),B24,D24) &lt; 0, 0, (1*(IF(ISBLANK(E24),C24,E24)))+IF(ISBLANK(D24),B24,D24)))</f>
        <v>0</v>
      </c>
      <c r="M24" s="33">
        <f>SUM(IF((2*(IF(ISBLANK(E24),C24,E24)))+IF(ISBLANK(D24),B24,D24) &lt; 0, 0, (2*(IF(ISBLANK(E24),C24,E24)))+IF(ISBLANK(D24),B24,D24)))</f>
        <v>0</v>
      </c>
      <c r="N24" s="33">
        <f>SUM(IF((3*(IF(ISBLANK(E24),C24,E24)))+IF(ISBLANK(D24),B24,D24) &lt; 0, 0, (3*(IF(ISBLANK(E24),C24,E24)))+IF(ISBLANK(D24),B24,D24)))</f>
        <v>0</v>
      </c>
      <c r="O24" s="282">
        <f t="shared" si="124"/>
        <v>0</v>
      </c>
      <c r="P24" s="33">
        <f>SUM(IF((4*(IF(ISBLANK(E24),C24,E24)))+IF(ISBLANK(D24),B24,D24) &lt; 0, 0, (4*(IF(ISBLANK(E24),C24,E24)))+IF(ISBLANK(D24),B24,D24)))</f>
        <v>0</v>
      </c>
      <c r="Q24" s="33">
        <f>SUM(IF((5*(IF(ISBLANK(E24),C24,E24)))+IF(ISBLANK(D24),B24,D24) &lt; 0, 0, (5*(IF(ISBLANK(E24),C24,E24)))+IF(ISBLANK(D24),B24,D24)))</f>
        <v>0</v>
      </c>
      <c r="R24" s="33">
        <f>SUM(IF((6*(IF(ISBLANK(E24),C24,E24)))+IF(ISBLANK(D24),B24,D24) &lt; 0, 0, (6*(IF(ISBLANK(E24),C24,E24)))+IF(ISBLANK(D24),B24,D24)))</f>
        <v>0</v>
      </c>
      <c r="S24" s="33">
        <f>SUM(IF((7*(IF(ISBLANK(E24),C24,E24)))+IF(ISBLANK(D24),B24,D24) &lt; 0, 0, (7*(IF(ISBLANK(E24),C24,E24)))+IF(ISBLANK(D24),B24,D24)))</f>
        <v>0</v>
      </c>
      <c r="T24" s="305">
        <f t="shared" si="129"/>
        <v>0</v>
      </c>
      <c r="U24" s="278">
        <f>SUM(IF((9*(IF(ISBLANK(E24),C24,E24)))+IF(ISBLANK(D24),B24,D24) &lt; 0, 0, (9*(IF(ISBLANK(E24),C24,E24)))+IF(ISBLANK(D24),B24,D24)))*12</f>
        <v>0</v>
      </c>
      <c r="V24" s="279">
        <f>SUM(IF((11*(IF(ISBLANK(E24),C24,E24)))+IF(ISBLANK(D24),B24,D24) &lt; 0, 0, (11*(IF(ISBLANK(E24),C24,E24)))+IF(ISBLANK(D24),B24,D24)))*12</f>
        <v>0</v>
      </c>
      <c r="W24" s="280">
        <f>SUM(IF((13*(IF(ISBLANK(E24),C24,E24)))+IF(ISBLANK(D24),B24,D24) &lt; 0, 0, (13*(IF(ISBLANK(E24),C24,E24)))+IF(ISBLANK(D24),B24,D24)))*12</f>
        <v>0</v>
      </c>
      <c r="X24" s="177"/>
      <c r="Y24" s="505">
        <v>0</v>
      </c>
      <c r="Z24" s="73">
        <f>SUM(Z18*F24)</f>
        <v>0</v>
      </c>
      <c r="AA24" s="73">
        <f>SUM(AA18*F24)</f>
        <v>0</v>
      </c>
      <c r="AB24" s="73">
        <f>SUM(AB18*F24)</f>
        <v>0</v>
      </c>
      <c r="AC24" s="282">
        <f t="shared" si="106"/>
        <v>0</v>
      </c>
      <c r="AD24" s="74"/>
      <c r="AE24" s="73">
        <f>SUM(AE18*G24)</f>
        <v>0</v>
      </c>
      <c r="AF24" s="73">
        <f>SUM(AF18*G24)</f>
        <v>0</v>
      </c>
      <c r="AG24" s="73">
        <f>SUM(AG18*G24)</f>
        <v>0</v>
      </c>
      <c r="AH24" s="282">
        <f t="shared" si="107"/>
        <v>0</v>
      </c>
      <c r="AI24" s="74"/>
      <c r="AJ24" s="73">
        <f t="shared" si="130"/>
        <v>0</v>
      </c>
      <c r="AK24" s="73">
        <f t="shared" si="131"/>
        <v>0</v>
      </c>
      <c r="AL24" s="73">
        <f t="shared" si="132"/>
        <v>0</v>
      </c>
      <c r="AM24" s="282">
        <f t="shared" si="108"/>
        <v>0</v>
      </c>
      <c r="AN24" s="74"/>
      <c r="AO24" s="73">
        <f>SUM(AO18*I24)</f>
        <v>0</v>
      </c>
      <c r="AP24" s="73">
        <f>SUM(AP18*I24)</f>
        <v>0</v>
      </c>
      <c r="AQ24" s="73">
        <f>SUM(AQ18*I24)</f>
        <v>0</v>
      </c>
      <c r="AR24" s="282">
        <f t="shared" si="109"/>
        <v>0</v>
      </c>
      <c r="AS24" s="74"/>
      <c r="AT24" s="73">
        <f>SUM(AT18*K24)</f>
        <v>0</v>
      </c>
      <c r="AU24" s="73">
        <f>SUM(AU18*K24)</f>
        <v>0</v>
      </c>
      <c r="AV24" s="73">
        <f>SUM(AV18*K24)</f>
        <v>0</v>
      </c>
      <c r="AW24" s="282">
        <f t="shared" si="110"/>
        <v>0</v>
      </c>
      <c r="AX24" s="74"/>
      <c r="AY24" s="73">
        <f>SUM(AY18*L24)</f>
        <v>0</v>
      </c>
      <c r="AZ24" s="73">
        <f>SUM(AZ18*L24)</f>
        <v>0</v>
      </c>
      <c r="BA24" s="73">
        <f>SUM(BA18*L24)</f>
        <v>0</v>
      </c>
      <c r="BB24" s="282">
        <f t="shared" si="111"/>
        <v>0</v>
      </c>
      <c r="BC24" s="74"/>
      <c r="BD24" s="73">
        <f>SUM(BD18*M24)</f>
        <v>0</v>
      </c>
      <c r="BE24" s="73">
        <f>SUM(BE18*M24)</f>
        <v>0</v>
      </c>
      <c r="BF24" s="73">
        <f>SUM(BF18*M24)</f>
        <v>0</v>
      </c>
      <c r="BG24" s="282">
        <f t="shared" si="112"/>
        <v>0</v>
      </c>
      <c r="BH24" s="74"/>
      <c r="BI24" s="73">
        <f>SUM(BI18*N24)</f>
        <v>0</v>
      </c>
      <c r="BJ24" s="73">
        <f>SUM(BJ18*N24)</f>
        <v>0</v>
      </c>
      <c r="BK24" s="73">
        <f>SUM(BK18*N24)</f>
        <v>0</v>
      </c>
      <c r="BL24" s="282">
        <f t="shared" si="113"/>
        <v>0</v>
      </c>
      <c r="BM24" s="74"/>
      <c r="BN24" s="73">
        <f>SUM(BN18*P24)</f>
        <v>0</v>
      </c>
      <c r="BO24" s="73">
        <f>SUM(BO18*P24)</f>
        <v>0</v>
      </c>
      <c r="BP24" s="73">
        <f>SUM(BP18*P24)</f>
        <v>0</v>
      </c>
      <c r="BQ24" s="282">
        <f t="shared" si="114"/>
        <v>0</v>
      </c>
      <c r="BR24" s="74"/>
      <c r="BS24" s="73">
        <f>SUM(BS18*Q24)</f>
        <v>0</v>
      </c>
      <c r="BT24" s="73">
        <f>SUM(BT18*Q24)</f>
        <v>0</v>
      </c>
      <c r="BU24" s="73">
        <f>SUM(BU18*Q24)</f>
        <v>0</v>
      </c>
      <c r="BV24" s="282">
        <f t="shared" si="115"/>
        <v>0</v>
      </c>
      <c r="BW24" s="74"/>
      <c r="BX24" s="73">
        <f>SUM(BX18*R24)</f>
        <v>0</v>
      </c>
      <c r="BY24" s="73">
        <f>SUM(BY18*R24)</f>
        <v>0</v>
      </c>
      <c r="BZ24" s="73">
        <f>SUM(BZ18*R24)</f>
        <v>0</v>
      </c>
      <c r="CA24" s="282">
        <f t="shared" si="116"/>
        <v>0</v>
      </c>
      <c r="CB24" s="74"/>
      <c r="CC24" s="73">
        <f>SUM(CC18*S24)</f>
        <v>0</v>
      </c>
      <c r="CD24" s="73">
        <f>SUM(CD18*S24)</f>
        <v>0</v>
      </c>
      <c r="CE24" s="73">
        <f>SUM(CE18*S24)</f>
        <v>0</v>
      </c>
      <c r="CF24" s="282">
        <f t="shared" si="117"/>
        <v>0</v>
      </c>
      <c r="CG24" s="88"/>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57" t="s">
        <v>195</v>
      </c>
      <c r="B25" s="367">
        <v>0</v>
      </c>
      <c r="C25" s="304">
        <v>0</v>
      </c>
      <c r="D25" s="121"/>
      <c r="E25" s="120"/>
      <c r="F25" s="129">
        <v>0</v>
      </c>
      <c r="G25" s="128">
        <v>0</v>
      </c>
      <c r="H25" s="360">
        <v>0</v>
      </c>
      <c r="I25" s="360">
        <v>0</v>
      </c>
      <c r="J25" s="282">
        <f t="shared" si="133"/>
        <v>0</v>
      </c>
      <c r="K25" s="33">
        <f>SUM(IF((0*(IF(ISBLANK(E25),C25,E25)))+IF(ISBLANK(D25),B25,D25) &lt; 0, 0, (0*(IF(ISBLANK(E25),C25,E25)))+IF(ISBLANK(D25),B25,D25)))</f>
        <v>0</v>
      </c>
      <c r="L25" s="33">
        <f>SUM(IF((1*(IF(ISBLANK(E25),C25,E25)))+IF(ISBLANK(D25),B25,D25) &lt; 0, 0, (1*(IF(ISBLANK(E25),C25,E25)))+IF(ISBLANK(D25),B25,D25)))</f>
        <v>0</v>
      </c>
      <c r="M25" s="33">
        <f>SUM(IF((2*(IF(ISBLANK(E25),C25,E25)))+IF(ISBLANK(D25),B25,D25) &lt; 0, 0, (2*(IF(ISBLANK(E25),C25,E25)))+IF(ISBLANK(D25),B25,D25)))</f>
        <v>0</v>
      </c>
      <c r="N25" s="33">
        <f>SUM(IF((3*(IF(ISBLANK(E25),C25,E25)))+IF(ISBLANK(D25),B25,D25) &lt; 0, 0, (3*(IF(ISBLANK(E25),C25,E25)))+IF(ISBLANK(D25),B25,D25)))</f>
        <v>0</v>
      </c>
      <c r="O25" s="282">
        <f t="shared" si="124"/>
        <v>0</v>
      </c>
      <c r="P25" s="33">
        <f>SUM(IF((4*(IF(ISBLANK(E25),C25,E25)))+IF(ISBLANK(D25),B25,D25) &lt; 0, 0, (4*(IF(ISBLANK(E25),C25,E25)))+IF(ISBLANK(D25),B25,D25)))</f>
        <v>0</v>
      </c>
      <c r="Q25" s="33">
        <f>SUM(IF((5*(IF(ISBLANK(E25),C25,E25)))+IF(ISBLANK(D25),B25,D25) &lt; 0, 0, (5*(IF(ISBLANK(E25),C25,E25)))+IF(ISBLANK(D25),B25,D25)))</f>
        <v>0</v>
      </c>
      <c r="R25" s="33">
        <f>SUM(IF((6*(IF(ISBLANK(E25),C25,E25)))+IF(ISBLANK(D25),B25,D25) &lt; 0, 0, (6*(IF(ISBLANK(E25),C25,E25)))+IF(ISBLANK(D25),B25,D25)))</f>
        <v>0</v>
      </c>
      <c r="S25" s="33">
        <f>SUM(IF((7*(IF(ISBLANK(E25),C25,E25)))+IF(ISBLANK(D25),B25,D25) &lt; 0, 0, (7*(IF(ISBLANK(E25),C25,E25)))+IF(ISBLANK(D25),B25,D25)))</f>
        <v>0</v>
      </c>
      <c r="T25" s="305">
        <f t="shared" si="129"/>
        <v>0</v>
      </c>
      <c r="U25" s="278">
        <f>SUM(IF((9*(IF(ISBLANK(E25),C25,E25)))+IF(ISBLANK(D25),B25,D25) &lt; 0, 0, (9*(IF(ISBLANK(E25),C25,E25)))+IF(ISBLANK(D25),B25,D25)))*12</f>
        <v>0</v>
      </c>
      <c r="V25" s="279">
        <f>SUM(IF((11*(IF(ISBLANK(E25),C25,E25)))+IF(ISBLANK(D25),B25,D25) &lt; 0, 0, (11*(IF(ISBLANK(E25),C25,E25)))+IF(ISBLANK(D25),B25,D25)))*12</f>
        <v>0</v>
      </c>
      <c r="W25" s="280">
        <f>SUM(IF((13*(IF(ISBLANK(E25),C25,E25)))+IF(ISBLANK(D25),B25,D25) &lt; 0, 0, (13*(IF(ISBLANK(E25),C25,E25)))+IF(ISBLANK(D25),B25,D25)))*12</f>
        <v>0</v>
      </c>
      <c r="X25" s="177"/>
      <c r="Y25" s="505">
        <v>0</v>
      </c>
      <c r="Z25" s="73">
        <f>SUM(Z18*F25)</f>
        <v>0</v>
      </c>
      <c r="AA25" s="73">
        <f>SUM(AA18*F25)</f>
        <v>0</v>
      </c>
      <c r="AB25" s="73">
        <f>SUM(AB18*F25)</f>
        <v>0</v>
      </c>
      <c r="AC25" s="282">
        <f t="shared" si="106"/>
        <v>0</v>
      </c>
      <c r="AD25" s="74"/>
      <c r="AE25" s="73">
        <f>SUM(AE18*G25)</f>
        <v>0</v>
      </c>
      <c r="AF25" s="73">
        <f>SUM(AF18*G25)</f>
        <v>0</v>
      </c>
      <c r="AG25" s="73">
        <f>SUM(AG18*G25)</f>
        <v>0</v>
      </c>
      <c r="AH25" s="282">
        <f t="shared" si="107"/>
        <v>0</v>
      </c>
      <c r="AI25" s="74"/>
      <c r="AJ25" s="73">
        <f t="shared" si="130"/>
        <v>0</v>
      </c>
      <c r="AK25" s="73">
        <f t="shared" si="131"/>
        <v>0</v>
      </c>
      <c r="AL25" s="73">
        <f t="shared" si="132"/>
        <v>0</v>
      </c>
      <c r="AM25" s="282">
        <f t="shared" si="108"/>
        <v>0</v>
      </c>
      <c r="AN25" s="74"/>
      <c r="AO25" s="73">
        <f>SUM(AO18*I25)</f>
        <v>0</v>
      </c>
      <c r="AP25" s="73">
        <f>SUM(AP18*I25)</f>
        <v>0</v>
      </c>
      <c r="AQ25" s="73">
        <f>SUM(AQ18*I25)</f>
        <v>0</v>
      </c>
      <c r="AR25" s="282">
        <f t="shared" si="109"/>
        <v>0</v>
      </c>
      <c r="AS25" s="74"/>
      <c r="AT25" s="73">
        <f>SUM(AT18*K25)</f>
        <v>0</v>
      </c>
      <c r="AU25" s="73">
        <f>SUM(AU18*K25)</f>
        <v>0</v>
      </c>
      <c r="AV25" s="73">
        <f>SUM(AV18*K25)</f>
        <v>0</v>
      </c>
      <c r="AW25" s="282">
        <f t="shared" si="110"/>
        <v>0</v>
      </c>
      <c r="AX25" s="74"/>
      <c r="AY25" s="73">
        <f>SUM(AY18*L25)</f>
        <v>0</v>
      </c>
      <c r="AZ25" s="73">
        <f>SUM(AZ18*L25)</f>
        <v>0</v>
      </c>
      <c r="BA25" s="73">
        <f>SUM(BA18*L25)</f>
        <v>0</v>
      </c>
      <c r="BB25" s="282">
        <f t="shared" si="111"/>
        <v>0</v>
      </c>
      <c r="BC25" s="74"/>
      <c r="BD25" s="73">
        <f>SUM(BD18*M25)</f>
        <v>0</v>
      </c>
      <c r="BE25" s="73">
        <f>SUM(BE18*M25)</f>
        <v>0</v>
      </c>
      <c r="BF25" s="73">
        <f>SUM(BF18*M25)</f>
        <v>0</v>
      </c>
      <c r="BG25" s="282">
        <f t="shared" si="112"/>
        <v>0</v>
      </c>
      <c r="BH25" s="74"/>
      <c r="BI25" s="73">
        <f>SUM(BI18*N25)</f>
        <v>0</v>
      </c>
      <c r="BJ25" s="73">
        <f>SUM(BJ18*N25)</f>
        <v>0</v>
      </c>
      <c r="BK25" s="73">
        <f>SUM(BK18*N25)</f>
        <v>0</v>
      </c>
      <c r="BL25" s="282">
        <f t="shared" si="113"/>
        <v>0</v>
      </c>
      <c r="BM25" s="74"/>
      <c r="BN25" s="73">
        <f>SUM(BN18*P25)</f>
        <v>0</v>
      </c>
      <c r="BO25" s="73">
        <f>SUM(BO18*P25)</f>
        <v>0</v>
      </c>
      <c r="BP25" s="73">
        <f>SUM(BP18*P25)</f>
        <v>0</v>
      </c>
      <c r="BQ25" s="282">
        <f t="shared" si="114"/>
        <v>0</v>
      </c>
      <c r="BR25" s="74"/>
      <c r="BS25" s="73">
        <f>SUM(BS18*Q25)</f>
        <v>0</v>
      </c>
      <c r="BT25" s="73">
        <f>SUM(BT18*Q25)</f>
        <v>0</v>
      </c>
      <c r="BU25" s="73">
        <f>SUM(BU18*Q25)</f>
        <v>0</v>
      </c>
      <c r="BV25" s="282">
        <f t="shared" si="115"/>
        <v>0</v>
      </c>
      <c r="BW25" s="74"/>
      <c r="BX25" s="73">
        <f>SUM(BX18*R25)</f>
        <v>0</v>
      </c>
      <c r="BY25" s="73">
        <f>SUM(BY18*R25)</f>
        <v>0</v>
      </c>
      <c r="BZ25" s="73">
        <f>SUM(BZ18*R25)</f>
        <v>0</v>
      </c>
      <c r="CA25" s="282">
        <f t="shared" si="116"/>
        <v>0</v>
      </c>
      <c r="CB25" s="74"/>
      <c r="CC25" s="73">
        <f>SUM(CC18*S25)</f>
        <v>0</v>
      </c>
      <c r="CD25" s="73">
        <f>SUM(CD18*S25)</f>
        <v>0</v>
      </c>
      <c r="CE25" s="73">
        <f>SUM(CE18*S25)</f>
        <v>0</v>
      </c>
      <c r="CF25" s="282">
        <f t="shared" si="117"/>
        <v>0</v>
      </c>
      <c r="CG25" s="88"/>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57" t="s">
        <v>196</v>
      </c>
      <c r="B26" s="367">
        <v>0</v>
      </c>
      <c r="C26" s="304">
        <v>0</v>
      </c>
      <c r="D26" s="121"/>
      <c r="E26" s="120"/>
      <c r="F26" s="129">
        <v>0</v>
      </c>
      <c r="G26" s="128">
        <v>0</v>
      </c>
      <c r="H26" s="360">
        <v>0</v>
      </c>
      <c r="I26" s="360">
        <v>0</v>
      </c>
      <c r="J26" s="282">
        <f t="shared" si="133"/>
        <v>0</v>
      </c>
      <c r="K26" s="33">
        <f>SUM(IF((0*(IF(ISBLANK(E26),C26,E26)))+IF(ISBLANK(D26),B26,D26) &lt; 0, 0, (0*(IF(ISBLANK(E26),C26,E26)))+IF(ISBLANK(D26),B26,D26)))</f>
        <v>0</v>
      </c>
      <c r="L26" s="33">
        <f>SUM(IF((1*(IF(ISBLANK(E26),C26,E26)))+IF(ISBLANK(D26),B26,D26) &lt; 0, 0, (1*(IF(ISBLANK(E26),C26,E26)))+IF(ISBLANK(D26),B26,D26)))</f>
        <v>0</v>
      </c>
      <c r="M26" s="33">
        <f>SUM(IF((2*(IF(ISBLANK(E26),C26,E26)))+IF(ISBLANK(D26),B26,D26) &lt; 0, 0, (2*(IF(ISBLANK(E26),C26,E26)))+IF(ISBLANK(D26),B26,D26)))</f>
        <v>0</v>
      </c>
      <c r="N26" s="33">
        <f>SUM(IF((3*(IF(ISBLANK(E26),C26,E26)))+IF(ISBLANK(D26),B26,D26) &lt; 0, 0, (3*(IF(ISBLANK(E26),C26,E26)))+IF(ISBLANK(D26),B26,D26)))</f>
        <v>0</v>
      </c>
      <c r="O26" s="282">
        <f t="shared" si="124"/>
        <v>0</v>
      </c>
      <c r="P26" s="33">
        <f>SUM(IF((4*(IF(ISBLANK(E26),C26,E26)))+IF(ISBLANK(D26),B26,D26) &lt; 0, 0, (4*(IF(ISBLANK(E26),C26,E26)))+IF(ISBLANK(D26),B26,D26)))</f>
        <v>0</v>
      </c>
      <c r="Q26" s="33">
        <f>SUM(IF((5*(IF(ISBLANK(E26),C26,E26)))+IF(ISBLANK(D26),B26,D26) &lt; 0, 0, (5*(IF(ISBLANK(E26),C26,E26)))+IF(ISBLANK(D26),B26,D26)))</f>
        <v>0</v>
      </c>
      <c r="R26" s="33">
        <f>SUM(IF((6*(IF(ISBLANK(E26),C26,E26)))+IF(ISBLANK(D26),B26,D26) &lt; 0, 0, (6*(IF(ISBLANK(E26),C26,E26)))+IF(ISBLANK(D26),B26,D26)))</f>
        <v>0</v>
      </c>
      <c r="S26" s="33">
        <f>SUM(IF((7*(IF(ISBLANK(E26),C26,E26)))+IF(ISBLANK(D26),B26,D26) &lt; 0, 0, (7*(IF(ISBLANK(E26),C26,E26)))+IF(ISBLANK(D26),B26,D26)))</f>
        <v>0</v>
      </c>
      <c r="T26" s="305">
        <f t="shared" si="129"/>
        <v>0</v>
      </c>
      <c r="U26" s="278">
        <f>SUM(IF((9*(IF(ISBLANK(E26),C26,E26)))+IF(ISBLANK(D26),B26,D26) &lt; 0, 0, (9*(IF(ISBLANK(E26),C26,E26)))+IF(ISBLANK(D26),B26,D26)))*12</f>
        <v>0</v>
      </c>
      <c r="V26" s="279">
        <f>SUM(IF((11*(IF(ISBLANK(E26),C26,E26)))+IF(ISBLANK(D26),B26,D26) &lt; 0, 0, (11*(IF(ISBLANK(E26),C26,E26)))+IF(ISBLANK(D26),B26,D26)))*12</f>
        <v>0</v>
      </c>
      <c r="W26" s="280">
        <f>SUM(IF((13*(IF(ISBLANK(E26),C26,E26)))+IF(ISBLANK(D26),B26,D26) &lt; 0, 0, (13*(IF(ISBLANK(E26),C26,E26)))+IF(ISBLANK(D26),B26,D26)))*12</f>
        <v>0</v>
      </c>
      <c r="X26" s="177"/>
      <c r="Y26" s="505">
        <v>0</v>
      </c>
      <c r="Z26" s="73">
        <f>SUM(Z18*F26)</f>
        <v>0</v>
      </c>
      <c r="AA26" s="73">
        <f>SUM(AA18*F26)</f>
        <v>0</v>
      </c>
      <c r="AB26" s="73">
        <f>SUM(AB18*F26)</f>
        <v>0</v>
      </c>
      <c r="AC26" s="282">
        <f t="shared" si="106"/>
        <v>0</v>
      </c>
      <c r="AD26" s="74"/>
      <c r="AE26" s="73">
        <f>SUM(AE18*G26)</f>
        <v>0</v>
      </c>
      <c r="AF26" s="73">
        <f>SUM(AF18*G26)</f>
        <v>0</v>
      </c>
      <c r="AG26" s="73">
        <f>SUM(AG18*G26)</f>
        <v>0</v>
      </c>
      <c r="AH26" s="282">
        <f t="shared" si="107"/>
        <v>0</v>
      </c>
      <c r="AI26" s="74"/>
      <c r="AJ26" s="73">
        <f t="shared" si="130"/>
        <v>0</v>
      </c>
      <c r="AK26" s="73">
        <f t="shared" si="131"/>
        <v>0</v>
      </c>
      <c r="AL26" s="73">
        <f t="shared" si="132"/>
        <v>0</v>
      </c>
      <c r="AM26" s="282">
        <f t="shared" si="108"/>
        <v>0</v>
      </c>
      <c r="AN26" s="74"/>
      <c r="AO26" s="73">
        <f>SUM(AO18*I26)</f>
        <v>0</v>
      </c>
      <c r="AP26" s="73">
        <f>SUM(AP18*I26)</f>
        <v>0</v>
      </c>
      <c r="AQ26" s="73">
        <f>SUM(AQ18*I26)</f>
        <v>0</v>
      </c>
      <c r="AR26" s="282">
        <f t="shared" si="109"/>
        <v>0</v>
      </c>
      <c r="AS26" s="74"/>
      <c r="AT26" s="73">
        <f>SUM(AT18*K26)</f>
        <v>0</v>
      </c>
      <c r="AU26" s="73">
        <f>SUM(AU18*K26)</f>
        <v>0</v>
      </c>
      <c r="AV26" s="73">
        <f>SUM(AV18*K26)</f>
        <v>0</v>
      </c>
      <c r="AW26" s="282">
        <f t="shared" si="110"/>
        <v>0</v>
      </c>
      <c r="AX26" s="74"/>
      <c r="AY26" s="73">
        <f>SUM(AY18*L26)</f>
        <v>0</v>
      </c>
      <c r="AZ26" s="73">
        <f>SUM(AZ18*L26)</f>
        <v>0</v>
      </c>
      <c r="BA26" s="73">
        <f>SUM(BA18*L26)</f>
        <v>0</v>
      </c>
      <c r="BB26" s="282">
        <f t="shared" si="111"/>
        <v>0</v>
      </c>
      <c r="BC26" s="74"/>
      <c r="BD26" s="73">
        <f>SUM(BD18*M26)</f>
        <v>0</v>
      </c>
      <c r="BE26" s="73">
        <f>SUM(BE18*M26)</f>
        <v>0</v>
      </c>
      <c r="BF26" s="73">
        <f>SUM(BF18*M26)</f>
        <v>0</v>
      </c>
      <c r="BG26" s="282">
        <f t="shared" si="112"/>
        <v>0</v>
      </c>
      <c r="BH26" s="74"/>
      <c r="BI26" s="73">
        <f>SUM(BI18*N26)</f>
        <v>0</v>
      </c>
      <c r="BJ26" s="73">
        <f>SUM(BJ18*N26)</f>
        <v>0</v>
      </c>
      <c r="BK26" s="73">
        <f>SUM(BK18*N26)</f>
        <v>0</v>
      </c>
      <c r="BL26" s="282">
        <f t="shared" si="113"/>
        <v>0</v>
      </c>
      <c r="BM26" s="74"/>
      <c r="BN26" s="73">
        <f>SUM(BN18*P26)</f>
        <v>0</v>
      </c>
      <c r="BO26" s="73">
        <f>SUM(BO18*P26)</f>
        <v>0</v>
      </c>
      <c r="BP26" s="73">
        <f>SUM(BP18*P26)</f>
        <v>0</v>
      </c>
      <c r="BQ26" s="282">
        <f t="shared" si="114"/>
        <v>0</v>
      </c>
      <c r="BR26" s="74"/>
      <c r="BS26" s="73">
        <f>SUM(BS18*Q26)</f>
        <v>0</v>
      </c>
      <c r="BT26" s="73">
        <f>SUM(BT18*Q26)</f>
        <v>0</v>
      </c>
      <c r="BU26" s="73">
        <f>SUM(BU18*Q26)</f>
        <v>0</v>
      </c>
      <c r="BV26" s="282">
        <f t="shared" si="115"/>
        <v>0</v>
      </c>
      <c r="BW26" s="74"/>
      <c r="BX26" s="73">
        <f>SUM(BX18*R26)</f>
        <v>0</v>
      </c>
      <c r="BY26" s="73">
        <f>SUM(BY18*R26)</f>
        <v>0</v>
      </c>
      <c r="BZ26" s="73">
        <f>SUM(BZ18*R26)</f>
        <v>0</v>
      </c>
      <c r="CA26" s="282">
        <f t="shared" si="116"/>
        <v>0</v>
      </c>
      <c r="CB26" s="74"/>
      <c r="CC26" s="73">
        <f>SUM(CC18*S26)</f>
        <v>0</v>
      </c>
      <c r="CD26" s="73">
        <f>SUM(CD18*S26)</f>
        <v>0</v>
      </c>
      <c r="CE26" s="73">
        <f>SUM(CE18*S26)</f>
        <v>0</v>
      </c>
      <c r="CF26" s="282">
        <f t="shared" si="117"/>
        <v>0</v>
      </c>
      <c r="CG26" s="88"/>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57" t="s">
        <v>197</v>
      </c>
      <c r="B27" s="367">
        <v>0</v>
      </c>
      <c r="C27" s="304">
        <v>0</v>
      </c>
      <c r="D27" s="121"/>
      <c r="E27" s="120"/>
      <c r="F27" s="129">
        <v>0</v>
      </c>
      <c r="G27" s="128">
        <v>0</v>
      </c>
      <c r="H27" s="360">
        <v>0</v>
      </c>
      <c r="I27" s="360">
        <v>0</v>
      </c>
      <c r="J27" s="282">
        <f t="shared" si="133"/>
        <v>0</v>
      </c>
      <c r="K27" s="360">
        <v>0</v>
      </c>
      <c r="L27" s="360">
        <v>0</v>
      </c>
      <c r="M27" s="360">
        <v>0</v>
      </c>
      <c r="N27" s="360">
        <v>0</v>
      </c>
      <c r="O27" s="282">
        <f t="shared" si="12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05">
        <f t="shared" si="129"/>
        <v>0</v>
      </c>
      <c r="U27" s="278">
        <f>SUM(IF((5*(IF(ISBLANK(E27),C27,E27)))+IF(ISBLANK(D27),B27,D27) &lt; 0, 0, (5*(IF(ISBLANK(E27),C27,E27)))+IF(ISBLANK(D27),B27,D27)))*12</f>
        <v>0</v>
      </c>
      <c r="V27" s="279">
        <f>SUM(IF((7*(IF(ISBLANK(E27),C27,E27)))+IF(ISBLANK(D27),B27,D27) &lt; 0, 0, (7*(IF(ISBLANK(E27),C27,E27)))+IF(ISBLANK(D27),B27,D27)))*12</f>
        <v>0</v>
      </c>
      <c r="W27" s="280">
        <f>SUM(IF((9*(IF(ISBLANK(E27),C27,E27)))+IF(ISBLANK(D27),B27,D27) &lt; 0, 0, (9*(IF(ISBLANK(E27),C27,E27)))+IF(ISBLANK(D27),B27,D27)))*12</f>
        <v>0</v>
      </c>
      <c r="X27" s="177"/>
      <c r="Y27" s="505">
        <v>0</v>
      </c>
      <c r="Z27" s="73">
        <f>SUM(Z18*F27)</f>
        <v>0</v>
      </c>
      <c r="AA27" s="73">
        <f>SUM(AA18*F27)</f>
        <v>0</v>
      </c>
      <c r="AB27" s="73">
        <f>SUM(AB18*F27)</f>
        <v>0</v>
      </c>
      <c r="AC27" s="282">
        <f t="shared" si="106"/>
        <v>0</v>
      </c>
      <c r="AD27" s="74"/>
      <c r="AE27" s="73">
        <f>SUM(AE18*G27)</f>
        <v>0</v>
      </c>
      <c r="AF27" s="73">
        <f>SUM(AF18*G27)</f>
        <v>0</v>
      </c>
      <c r="AG27" s="73">
        <f>SUM(AG18*G27)</f>
        <v>0</v>
      </c>
      <c r="AH27" s="282">
        <f t="shared" si="107"/>
        <v>0</v>
      </c>
      <c r="AI27" s="74"/>
      <c r="AJ27" s="73">
        <f t="shared" si="130"/>
        <v>0</v>
      </c>
      <c r="AK27" s="73">
        <f t="shared" si="131"/>
        <v>0</v>
      </c>
      <c r="AL27" s="73">
        <f t="shared" si="132"/>
        <v>0</v>
      </c>
      <c r="AM27" s="282">
        <f t="shared" si="108"/>
        <v>0</v>
      </c>
      <c r="AN27" s="74"/>
      <c r="AO27" s="73">
        <f>SUM(AO18*I27)</f>
        <v>0</v>
      </c>
      <c r="AP27" s="73">
        <f>SUM(AP18*I27)</f>
        <v>0</v>
      </c>
      <c r="AQ27" s="73">
        <f>SUM(AQ18*I27)</f>
        <v>0</v>
      </c>
      <c r="AR27" s="282">
        <f t="shared" si="109"/>
        <v>0</v>
      </c>
      <c r="AS27" s="74"/>
      <c r="AT27" s="73">
        <f>SUM(AT18*K27)</f>
        <v>0</v>
      </c>
      <c r="AU27" s="73">
        <f>SUM(AU18*K27)</f>
        <v>0</v>
      </c>
      <c r="AV27" s="73">
        <f>SUM(AV18*K27)</f>
        <v>0</v>
      </c>
      <c r="AW27" s="282">
        <f t="shared" si="110"/>
        <v>0</v>
      </c>
      <c r="AX27" s="74"/>
      <c r="AY27" s="73">
        <f>SUM(AY18*L27)</f>
        <v>0</v>
      </c>
      <c r="AZ27" s="73">
        <f>SUM(AZ18*L27)</f>
        <v>0</v>
      </c>
      <c r="BA27" s="73">
        <f>SUM(BA18*L27)</f>
        <v>0</v>
      </c>
      <c r="BB27" s="282">
        <f t="shared" si="111"/>
        <v>0</v>
      </c>
      <c r="BC27" s="74"/>
      <c r="BD27" s="73">
        <f>SUM(BD18*M27)</f>
        <v>0</v>
      </c>
      <c r="BE27" s="73">
        <f>SUM(BE18*M27)</f>
        <v>0</v>
      </c>
      <c r="BF27" s="73">
        <f>SUM(BF18*M27)</f>
        <v>0</v>
      </c>
      <c r="BG27" s="282">
        <f t="shared" si="112"/>
        <v>0</v>
      </c>
      <c r="BH27" s="74"/>
      <c r="BI27" s="73">
        <f>SUM(BI18*N27)</f>
        <v>0</v>
      </c>
      <c r="BJ27" s="73">
        <f>SUM(BJ18*N27)</f>
        <v>0</v>
      </c>
      <c r="BK27" s="73">
        <f>SUM(BK18*N27)</f>
        <v>0</v>
      </c>
      <c r="BL27" s="282">
        <f t="shared" si="113"/>
        <v>0</v>
      </c>
      <c r="BM27" s="74"/>
      <c r="BN27" s="73">
        <f>SUM(BN18*P27)</f>
        <v>0</v>
      </c>
      <c r="BO27" s="73">
        <f>SUM(BO18*P27)</f>
        <v>0</v>
      </c>
      <c r="BP27" s="73">
        <f>SUM(BP18*P27)</f>
        <v>0</v>
      </c>
      <c r="BQ27" s="282">
        <f t="shared" si="114"/>
        <v>0</v>
      </c>
      <c r="BR27" s="74"/>
      <c r="BS27" s="73">
        <f>SUM(BS18*Q27)</f>
        <v>0</v>
      </c>
      <c r="BT27" s="73">
        <f>SUM(BT18*Q27)</f>
        <v>0</v>
      </c>
      <c r="BU27" s="73">
        <f>SUM(BU18*Q27)</f>
        <v>0</v>
      </c>
      <c r="BV27" s="282">
        <f t="shared" si="115"/>
        <v>0</v>
      </c>
      <c r="BW27" s="74"/>
      <c r="BX27" s="73">
        <f>SUM(BX18*R27)</f>
        <v>0</v>
      </c>
      <c r="BY27" s="73">
        <f>SUM(BY18*R27)</f>
        <v>0</v>
      </c>
      <c r="BZ27" s="73">
        <f>SUM(BZ18*R27)</f>
        <v>0</v>
      </c>
      <c r="CA27" s="282">
        <f t="shared" si="116"/>
        <v>0</v>
      </c>
      <c r="CB27" s="74"/>
      <c r="CC27" s="73">
        <f>SUM(CC18*S27)</f>
        <v>0</v>
      </c>
      <c r="CD27" s="73">
        <f>SUM(CD18*S27)</f>
        <v>0</v>
      </c>
      <c r="CE27" s="73">
        <f>SUM(CE18*S27)</f>
        <v>0</v>
      </c>
      <c r="CF27" s="282">
        <f t="shared" si="117"/>
        <v>0</v>
      </c>
      <c r="CG27" s="88"/>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57" t="s">
        <v>198</v>
      </c>
      <c r="B28" s="367">
        <v>0</v>
      </c>
      <c r="C28" s="304">
        <v>0</v>
      </c>
      <c r="D28" s="121"/>
      <c r="E28" s="120"/>
      <c r="F28" s="129">
        <v>0</v>
      </c>
      <c r="G28" s="128">
        <v>0</v>
      </c>
      <c r="H28" s="360">
        <v>0</v>
      </c>
      <c r="I28" s="360">
        <v>0</v>
      </c>
      <c r="J28" s="282">
        <f t="shared" si="133"/>
        <v>0</v>
      </c>
      <c r="K28" s="360">
        <v>0</v>
      </c>
      <c r="L28" s="360">
        <v>0</v>
      </c>
      <c r="M28" s="360">
        <v>0</v>
      </c>
      <c r="N28" s="360">
        <v>0</v>
      </c>
      <c r="O28" s="282">
        <f t="shared" si="12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05">
        <f t="shared" si="129"/>
        <v>0</v>
      </c>
      <c r="U28" s="278">
        <f>SUM(IF((6*(IF(ISBLANK(E28),C28,E28)))+IF(ISBLANK(D28),B28,D28) &lt; 0, 0, (6*(IF(ISBLANK(E28),C28,E28)))+IF(ISBLANK(D28),B28,D28)))*12</f>
        <v>0</v>
      </c>
      <c r="V28" s="279">
        <f>SUM(IF((8*(IF(ISBLANK(E28),C28,E28)))+IF(ISBLANK(D28),B28,D28) &lt; 0, 0, (8*(IF(ISBLANK(E28),C28,E28)))+IF(ISBLANK(D28),B28,D28)))*12</f>
        <v>0</v>
      </c>
      <c r="W28" s="280">
        <f>SUM(IF((10*(IF(ISBLANK(E28),C28,E28)))+IF(ISBLANK(D28),B28,D28) &lt; 0, 0, (10*(IF(ISBLANK(E28),C28,E28)))+IF(ISBLANK(D28),B28,D28)))*12</f>
        <v>0</v>
      </c>
      <c r="X28" s="177"/>
      <c r="Y28" s="505">
        <v>0</v>
      </c>
      <c r="Z28" s="73">
        <f>SUM(Z18*F28)</f>
        <v>0</v>
      </c>
      <c r="AA28" s="73">
        <f>SUM(AA18*F28)</f>
        <v>0</v>
      </c>
      <c r="AB28" s="73">
        <f>SUM(AB18*F28)</f>
        <v>0</v>
      </c>
      <c r="AC28" s="282">
        <f t="shared" si="106"/>
        <v>0</v>
      </c>
      <c r="AD28" s="74"/>
      <c r="AE28" s="73">
        <f>SUM(AE18*G28)</f>
        <v>0</v>
      </c>
      <c r="AF28" s="73">
        <f>SUM(AF18*G28)</f>
        <v>0</v>
      </c>
      <c r="AG28" s="73">
        <f>SUM(AG18*G28)</f>
        <v>0</v>
      </c>
      <c r="AH28" s="282">
        <f t="shared" si="107"/>
        <v>0</v>
      </c>
      <c r="AI28" s="74"/>
      <c r="AJ28" s="73">
        <f t="shared" si="130"/>
        <v>0</v>
      </c>
      <c r="AK28" s="73">
        <f t="shared" si="131"/>
        <v>0</v>
      </c>
      <c r="AL28" s="73">
        <f t="shared" si="132"/>
        <v>0</v>
      </c>
      <c r="AM28" s="282">
        <f t="shared" si="108"/>
        <v>0</v>
      </c>
      <c r="AN28" s="74"/>
      <c r="AO28" s="73">
        <f>SUM(AO18*I28)</f>
        <v>0</v>
      </c>
      <c r="AP28" s="73">
        <f>SUM(AP18*I28)</f>
        <v>0</v>
      </c>
      <c r="AQ28" s="73">
        <f>SUM(AQ18*I28)</f>
        <v>0</v>
      </c>
      <c r="AR28" s="282">
        <f t="shared" si="109"/>
        <v>0</v>
      </c>
      <c r="AS28" s="74"/>
      <c r="AT28" s="73">
        <f>SUM(AT18*K28)</f>
        <v>0</v>
      </c>
      <c r="AU28" s="73">
        <f>SUM(AU18*K28)</f>
        <v>0</v>
      </c>
      <c r="AV28" s="73">
        <f>SUM(AV18*K28)</f>
        <v>0</v>
      </c>
      <c r="AW28" s="282">
        <f t="shared" si="110"/>
        <v>0</v>
      </c>
      <c r="AX28" s="74"/>
      <c r="AY28" s="73">
        <f>SUM(AY18*L28)</f>
        <v>0</v>
      </c>
      <c r="AZ28" s="73">
        <f>SUM(AZ18*L28)</f>
        <v>0</v>
      </c>
      <c r="BA28" s="73">
        <f>SUM(BA18*L28)</f>
        <v>0</v>
      </c>
      <c r="BB28" s="282">
        <f t="shared" si="111"/>
        <v>0</v>
      </c>
      <c r="BC28" s="74"/>
      <c r="BD28" s="73">
        <f>SUM(BD18*M28)</f>
        <v>0</v>
      </c>
      <c r="BE28" s="73">
        <f>SUM(BE18*M28)</f>
        <v>0</v>
      </c>
      <c r="BF28" s="73">
        <f>SUM(BF18*M28)</f>
        <v>0</v>
      </c>
      <c r="BG28" s="282">
        <f t="shared" si="112"/>
        <v>0</v>
      </c>
      <c r="BH28" s="74"/>
      <c r="BI28" s="73">
        <f>SUM(BI18*N28)</f>
        <v>0</v>
      </c>
      <c r="BJ28" s="73">
        <f>SUM(BJ18*N28)</f>
        <v>0</v>
      </c>
      <c r="BK28" s="73">
        <f>SUM(BK18*N28)</f>
        <v>0</v>
      </c>
      <c r="BL28" s="282">
        <f t="shared" si="113"/>
        <v>0</v>
      </c>
      <c r="BM28" s="74"/>
      <c r="BN28" s="73">
        <f>SUM(BN18*P28)</f>
        <v>0</v>
      </c>
      <c r="BO28" s="73">
        <f>SUM(BO18*P28)</f>
        <v>0</v>
      </c>
      <c r="BP28" s="73">
        <f>SUM(BP18*P28)</f>
        <v>0</v>
      </c>
      <c r="BQ28" s="282">
        <f t="shared" si="114"/>
        <v>0</v>
      </c>
      <c r="BR28" s="74"/>
      <c r="BS28" s="73">
        <f>SUM(BS18*Q28)</f>
        <v>0</v>
      </c>
      <c r="BT28" s="73">
        <f>SUM(BT18*Q28)</f>
        <v>0</v>
      </c>
      <c r="BU28" s="73">
        <f>SUM(BU18*Q28)</f>
        <v>0</v>
      </c>
      <c r="BV28" s="282">
        <f t="shared" si="115"/>
        <v>0</v>
      </c>
      <c r="BW28" s="74"/>
      <c r="BX28" s="73">
        <f>SUM(BX18*R28)</f>
        <v>0</v>
      </c>
      <c r="BY28" s="73">
        <f>SUM(BY18*R28)</f>
        <v>0</v>
      </c>
      <c r="BZ28" s="73">
        <f>SUM(BZ18*R28)</f>
        <v>0</v>
      </c>
      <c r="CA28" s="282">
        <f t="shared" si="116"/>
        <v>0</v>
      </c>
      <c r="CB28" s="74"/>
      <c r="CC28" s="73">
        <f>SUM(CC18*S28)</f>
        <v>0</v>
      </c>
      <c r="CD28" s="73">
        <f>SUM(CD18*S28)</f>
        <v>0</v>
      </c>
      <c r="CE28" s="73">
        <f>SUM(CE18*S28)</f>
        <v>0</v>
      </c>
      <c r="CF28" s="282">
        <f t="shared" si="117"/>
        <v>0</v>
      </c>
      <c r="CG28" s="88"/>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58" t="s">
        <v>199</v>
      </c>
      <c r="B29" s="645" t="s">
        <v>209</v>
      </c>
      <c r="C29" s="646"/>
      <c r="D29" s="645" t="s">
        <v>209</v>
      </c>
      <c r="E29" s="646"/>
      <c r="F29" s="130">
        <v>0</v>
      </c>
      <c r="G29" s="131">
        <v>0</v>
      </c>
      <c r="H29" s="131">
        <v>0</v>
      </c>
      <c r="I29" s="131">
        <v>0</v>
      </c>
      <c r="J29" s="282">
        <f t="shared" si="133"/>
        <v>0</v>
      </c>
      <c r="K29" s="131">
        <v>0</v>
      </c>
      <c r="L29" s="131">
        <v>0</v>
      </c>
      <c r="M29" s="131">
        <v>0</v>
      </c>
      <c r="N29" s="131">
        <v>0</v>
      </c>
      <c r="O29" s="282">
        <f t="shared" si="124"/>
        <v>0</v>
      </c>
      <c r="P29" s="131">
        <v>0</v>
      </c>
      <c r="Q29" s="131">
        <v>0</v>
      </c>
      <c r="R29" s="131">
        <v>0</v>
      </c>
      <c r="S29" s="131">
        <v>0</v>
      </c>
      <c r="T29" s="305">
        <f t="shared" si="129"/>
        <v>0</v>
      </c>
      <c r="U29" s="355">
        <v>0</v>
      </c>
      <c r="V29" s="356">
        <v>0</v>
      </c>
      <c r="W29" s="357">
        <v>0</v>
      </c>
      <c r="X29" s="177"/>
      <c r="Y29" s="505">
        <v>0</v>
      </c>
      <c r="Z29" s="73">
        <f>SUM(F29/3)</f>
        <v>0</v>
      </c>
      <c r="AA29" s="73">
        <f>SUM(F29/3)</f>
        <v>0</v>
      </c>
      <c r="AB29" s="73">
        <f>SUM(F29/3)</f>
        <v>0</v>
      </c>
      <c r="AC29" s="282">
        <f t="shared" si="106"/>
        <v>0</v>
      </c>
      <c r="AD29" s="74"/>
      <c r="AE29" s="73">
        <f>SUM(G29/3)</f>
        <v>0</v>
      </c>
      <c r="AF29" s="73">
        <f>SUM(G29/3)</f>
        <v>0</v>
      </c>
      <c r="AG29" s="73">
        <f>SUM(G29/3)</f>
        <v>0</v>
      </c>
      <c r="AH29" s="282">
        <f t="shared" si="107"/>
        <v>0</v>
      </c>
      <c r="AI29" s="74"/>
      <c r="AJ29" s="73">
        <f>SUM(H29/3)</f>
        <v>0</v>
      </c>
      <c r="AK29" s="73">
        <f>SUM(H29/3)</f>
        <v>0</v>
      </c>
      <c r="AL29" s="73">
        <f>SUM(H29/3)</f>
        <v>0</v>
      </c>
      <c r="AM29" s="282">
        <f t="shared" si="108"/>
        <v>0</v>
      </c>
      <c r="AN29" s="74"/>
      <c r="AO29" s="73">
        <f>SUM(I29/3)</f>
        <v>0</v>
      </c>
      <c r="AP29" s="73">
        <f>SUM(I29/3)</f>
        <v>0</v>
      </c>
      <c r="AQ29" s="73">
        <f>SUM(I29/3)</f>
        <v>0</v>
      </c>
      <c r="AR29" s="282">
        <f t="shared" si="109"/>
        <v>0</v>
      </c>
      <c r="AS29" s="74"/>
      <c r="AT29" s="73">
        <f>SUM(K29/3)</f>
        <v>0</v>
      </c>
      <c r="AU29" s="73">
        <f>SUM(K29/3)</f>
        <v>0</v>
      </c>
      <c r="AV29" s="73">
        <f>SUM(K29/3)</f>
        <v>0</v>
      </c>
      <c r="AW29" s="282">
        <f t="shared" si="110"/>
        <v>0</v>
      </c>
      <c r="AX29" s="74"/>
      <c r="AY29" s="73">
        <f>SUM(L29/3)</f>
        <v>0</v>
      </c>
      <c r="AZ29" s="73">
        <f>SUM(L29/3)</f>
        <v>0</v>
      </c>
      <c r="BA29" s="73">
        <f>SUM(L29/3)</f>
        <v>0</v>
      </c>
      <c r="BB29" s="282">
        <f t="shared" si="111"/>
        <v>0</v>
      </c>
      <c r="BC29" s="74"/>
      <c r="BD29" s="73">
        <f>SUM(M29/3)</f>
        <v>0</v>
      </c>
      <c r="BE29" s="73">
        <f>SUM(M29/3)</f>
        <v>0</v>
      </c>
      <c r="BF29" s="73">
        <f>SUM(M29/3)</f>
        <v>0</v>
      </c>
      <c r="BG29" s="282">
        <f t="shared" si="112"/>
        <v>0</v>
      </c>
      <c r="BH29" s="74"/>
      <c r="BI29" s="73">
        <f>SUM(N29/3)</f>
        <v>0</v>
      </c>
      <c r="BJ29" s="73">
        <f>SUM(N29/3)</f>
        <v>0</v>
      </c>
      <c r="BK29" s="73">
        <f>SUM(N29/3)</f>
        <v>0</v>
      </c>
      <c r="BL29" s="282">
        <f t="shared" si="113"/>
        <v>0</v>
      </c>
      <c r="BM29" s="74"/>
      <c r="BN29" s="73">
        <f>SUM(P29/3)</f>
        <v>0</v>
      </c>
      <c r="BO29" s="73">
        <f>SUM(P29/3)</f>
        <v>0</v>
      </c>
      <c r="BP29" s="73">
        <f>SUM(P29/3)</f>
        <v>0</v>
      </c>
      <c r="BQ29" s="282">
        <f t="shared" si="114"/>
        <v>0</v>
      </c>
      <c r="BR29" s="74"/>
      <c r="BS29" s="73">
        <f>SUM(Q29/3)</f>
        <v>0</v>
      </c>
      <c r="BT29" s="73">
        <f>SUM(Q29/3)</f>
        <v>0</v>
      </c>
      <c r="BU29" s="73">
        <f>SUM(Q29/3)</f>
        <v>0</v>
      </c>
      <c r="BV29" s="282">
        <f t="shared" si="115"/>
        <v>0</v>
      </c>
      <c r="BW29" s="74"/>
      <c r="BX29" s="73">
        <f>SUM(R29/3)</f>
        <v>0</v>
      </c>
      <c r="BY29" s="73">
        <f>SUM(R29/3)</f>
        <v>0</v>
      </c>
      <c r="BZ29" s="73">
        <f>SUM(R29/3)</f>
        <v>0</v>
      </c>
      <c r="CA29" s="282">
        <f t="shared" si="116"/>
        <v>0</v>
      </c>
      <c r="CB29" s="74"/>
      <c r="CC29" s="73">
        <f>SUM(S29/3)</f>
        <v>0</v>
      </c>
      <c r="CD29" s="73">
        <f>SUM(S29/3)</f>
        <v>0</v>
      </c>
      <c r="CE29" s="73">
        <f>SUM(S29/3)</f>
        <v>0</v>
      </c>
      <c r="CF29" s="282">
        <f t="shared" si="117"/>
        <v>0</v>
      </c>
      <c r="CG29" s="88"/>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59" t="s">
        <v>200</v>
      </c>
      <c r="B30" s="321"/>
      <c r="C30" s="322"/>
      <c r="D30" s="202"/>
      <c r="E30" s="203"/>
      <c r="F30" s="101">
        <f>AC30</f>
        <v>0</v>
      </c>
      <c r="G30" s="75">
        <f>AH30</f>
        <v>0</v>
      </c>
      <c r="H30" s="75">
        <f>AM30</f>
        <v>4447.1566288157755</v>
      </c>
      <c r="I30" s="75">
        <f>AR30</f>
        <v>13727.841583440595</v>
      </c>
      <c r="J30" s="72">
        <f>SUM(F30:I30)</f>
        <v>18174.998212256371</v>
      </c>
      <c r="K30" s="75">
        <f>AW30</f>
        <v>20844.3974776016</v>
      </c>
      <c r="L30" s="75">
        <f>BB30</f>
        <v>29039.180863516114</v>
      </c>
      <c r="M30" s="75">
        <f>BG30</f>
        <v>38131.422925058185</v>
      </c>
      <c r="N30" s="75">
        <f>BL30</f>
        <v>48291.089526088908</v>
      </c>
      <c r="O30" s="72">
        <f>SUM(K30:N30)</f>
        <v>136306.09079226479</v>
      </c>
      <c r="P30" s="75">
        <f>BQ30</f>
        <v>60102.954782413537</v>
      </c>
      <c r="Q30" s="75">
        <f>BV30</f>
        <v>74003.043919759846</v>
      </c>
      <c r="R30" s="75">
        <f>CA30</f>
        <v>90286.656655354644</v>
      </c>
      <c r="S30" s="75">
        <f>CF30</f>
        <v>109301.18009264905</v>
      </c>
      <c r="T30" s="158">
        <f>SUM(P30:S30)</f>
        <v>333693.83545017708</v>
      </c>
      <c r="U30" s="162">
        <f>SUM(((S18+U18)/2)*(U21+U22+U23+U24+U25+U26+U27+U28))</f>
        <v>1058492.6589569238</v>
      </c>
      <c r="V30" s="72">
        <f>SUM(((U18+V18)/2)*(V21+V22+V23+V24+V25+V26+V27+V28))</f>
        <v>2373015.4725794727</v>
      </c>
      <c r="W30" s="89">
        <f>SUM(((V18+W18)/2)*(W21+W22+W23+W24+W25+W26+W27+W28))</f>
        <v>3811131.7369817365</v>
      </c>
      <c r="X30" s="178"/>
      <c r="Y30" s="509">
        <v>0</v>
      </c>
      <c r="Z30" s="75">
        <f>SUM(Z21:Z29)</f>
        <v>0</v>
      </c>
      <c r="AA30" s="75">
        <f>SUM(AA21:AA29)</f>
        <v>0</v>
      </c>
      <c r="AB30" s="75">
        <f>SUM(AB21:AB29)</f>
        <v>0</v>
      </c>
      <c r="AC30" s="72">
        <f>SUM(Z30:AB30)</f>
        <v>0</v>
      </c>
      <c r="AD30" s="72"/>
      <c r="AE30" s="75">
        <f>SUM(AE21:AE29)</f>
        <v>0</v>
      </c>
      <c r="AF30" s="75">
        <f>SUM(AF21:AF29)</f>
        <v>0</v>
      </c>
      <c r="AG30" s="75">
        <f>SUM(AG21:AG29)</f>
        <v>0</v>
      </c>
      <c r="AH30" s="72">
        <f>SUM(AE30:AG30)</f>
        <v>0</v>
      </c>
      <c r="AI30" s="72"/>
      <c r="AJ30" s="75">
        <f>SUM(AJ21:AJ29)</f>
        <v>1254.8428907725668</v>
      </c>
      <c r="AK30" s="75">
        <f>SUM(AK21:AK29)</f>
        <v>1495.5736103213012</v>
      </c>
      <c r="AL30" s="75">
        <f>SUM(AL21:AL29)</f>
        <v>1696.740127721908</v>
      </c>
      <c r="AM30" s="72">
        <f>SUM(AJ30:AL30)</f>
        <v>4447.1566288157755</v>
      </c>
      <c r="AN30" s="72"/>
      <c r="AO30" s="75">
        <f>SUM(AO21:AO29)</f>
        <v>4242.5553870761905</v>
      </c>
      <c r="AP30" s="75">
        <f>SUM(AP21:AP29)</f>
        <v>4595.8016711064392</v>
      </c>
      <c r="AQ30" s="75">
        <f>SUM(AQ21:AQ29)</f>
        <v>4889.4845252579653</v>
      </c>
      <c r="AR30" s="72">
        <f>SUM(AO30:AQ30)</f>
        <v>13727.841583440595</v>
      </c>
      <c r="AS30" s="72"/>
      <c r="AT30" s="75">
        <f>SUM(AT21:AT29)</f>
        <v>6519.2826462887233</v>
      </c>
      <c r="AU30" s="75">
        <f>SUM(AU21:AU29)</f>
        <v>6973.0467309258966</v>
      </c>
      <c r="AV30" s="75">
        <f>SUM(AV21:AV29)</f>
        <v>7352.0681003869804</v>
      </c>
      <c r="AW30" s="72">
        <f>SUM(AT30:AV30)</f>
        <v>20844.3974776016</v>
      </c>
      <c r="AX30" s="72"/>
      <c r="AY30" s="75">
        <f>SUM(AY21:AY29)</f>
        <v>9241.4655100531672</v>
      </c>
      <c r="AZ30" s="75">
        <f>SUM(AZ21:AZ29)</f>
        <v>9704.7094984138312</v>
      </c>
      <c r="BA30" s="75">
        <f>SUM(BA21:BA29)</f>
        <v>10093.005855049116</v>
      </c>
      <c r="BB30" s="72">
        <f>SUM(AY30:BA30)</f>
        <v>29039.180863516114</v>
      </c>
      <c r="BC30" s="72"/>
      <c r="BD30" s="75">
        <f>SUM(BD21:BD29)</f>
        <v>12238.373550006867</v>
      </c>
      <c r="BE30" s="75">
        <f>SUM(BE21:BE29)</f>
        <v>12736.862211145371</v>
      </c>
      <c r="BF30" s="75">
        <f>SUM(BF21:BF29)</f>
        <v>13156.187163905946</v>
      </c>
      <c r="BG30" s="72">
        <f>SUM(BD30:BF30)</f>
        <v>38131.422925058185</v>
      </c>
      <c r="BH30" s="72"/>
      <c r="BI30" s="75">
        <f>SUM(BI21:BI29)</f>
        <v>15569.478722201953</v>
      </c>
      <c r="BJ30" s="75">
        <f>SUM(BJ21:BJ29)</f>
        <v>16125.926034322219</v>
      </c>
      <c r="BK30" s="75">
        <f>SUM(BK21:BK29)</f>
        <v>16595.684769564741</v>
      </c>
      <c r="BL30" s="72">
        <f>SUM(BI30:BK30)</f>
        <v>48291.089526088908</v>
      </c>
      <c r="BM30" s="72"/>
      <c r="BN30" s="75">
        <f>SUM(BN21:BN29)</f>
        <v>19369.697225535616</v>
      </c>
      <c r="BO30" s="75">
        <f>SUM(BO21:BO29)</f>
        <v>20069.008781186669</v>
      </c>
      <c r="BP30" s="75">
        <f>SUM(BP21:BP29)</f>
        <v>20664.248775691252</v>
      </c>
      <c r="BQ30" s="72">
        <f>SUM(BN30:BP30)</f>
        <v>60102.954782413537</v>
      </c>
      <c r="BR30" s="72"/>
      <c r="BS30" s="75">
        <f>SUM(BS21:BS29)</f>
        <v>23845.304723774614</v>
      </c>
      <c r="BT30" s="75">
        <f>SUM(BT21:BT29)</f>
        <v>24708.495354015315</v>
      </c>
      <c r="BU30" s="75">
        <f>SUM(BU21:BU29)</f>
        <v>25449.243841969921</v>
      </c>
      <c r="BV30" s="72">
        <f>SUM(BS30:BU30)</f>
        <v>74003.043919759846</v>
      </c>
      <c r="BW30" s="72"/>
      <c r="BX30" s="75">
        <f>SUM(BX21:BX29)</f>
        <v>29090.005843796691</v>
      </c>
      <c r="BY30" s="75">
        <f>SUM(BY21:BY29)</f>
        <v>30142.88714554469</v>
      </c>
      <c r="BZ30" s="75">
        <f>SUM(BZ21:BZ29)</f>
        <v>31053.763666013263</v>
      </c>
      <c r="CA30" s="72">
        <f>SUM(BX30:BZ30)</f>
        <v>90286.656655354644</v>
      </c>
      <c r="CB30" s="72"/>
      <c r="CC30" s="75">
        <f>SUM(CC21:CC29)</f>
        <v>35214.438162736464</v>
      </c>
      <c r="CD30" s="75">
        <f>SUM(CD21:CD29)</f>
        <v>36488.019959941084</v>
      </c>
      <c r="CE30" s="75">
        <f>SUM(CE21:CE29)</f>
        <v>37598.721969971506</v>
      </c>
      <c r="CF30" s="84">
        <f>SUM(CC30:CE30)</f>
        <v>109301.18009264905</v>
      </c>
      <c r="CG30" s="89"/>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5"/>
      <c r="B31" s="160"/>
      <c r="C31" s="323"/>
      <c r="D31" s="40"/>
      <c r="E31" s="42"/>
      <c r="F31" s="102"/>
      <c r="G31" s="30"/>
      <c r="H31" s="30"/>
      <c r="I31" s="30"/>
      <c r="J31" s="30"/>
      <c r="K31" s="30"/>
      <c r="L31" s="30"/>
      <c r="M31" s="30"/>
      <c r="N31" s="30"/>
      <c r="O31" s="30"/>
      <c r="P31" s="30"/>
      <c r="Q31" s="30"/>
      <c r="R31" s="30"/>
      <c r="S31" s="30"/>
      <c r="T31" s="108"/>
      <c r="U31" s="40"/>
      <c r="V31" s="30"/>
      <c r="W31" s="42"/>
      <c r="X31" s="168"/>
      <c r="Y31" s="66"/>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0" t="s">
        <v>211</v>
      </c>
      <c r="B32" s="292"/>
      <c r="C32" s="324"/>
      <c r="D32" s="302"/>
      <c r="E32" s="303"/>
      <c r="F32" s="103"/>
      <c r="G32" s="69"/>
      <c r="H32" s="69"/>
      <c r="I32" s="69"/>
      <c r="J32" s="285"/>
      <c r="K32" s="69"/>
      <c r="L32" s="69"/>
      <c r="M32" s="69"/>
      <c r="N32" s="69"/>
      <c r="O32" s="285"/>
      <c r="P32" s="69"/>
      <c r="Q32" s="69"/>
      <c r="R32" s="69"/>
      <c r="S32" s="69"/>
      <c r="T32" s="277"/>
      <c r="U32" s="284"/>
      <c r="V32" s="285"/>
      <c r="W32" s="286"/>
      <c r="X32" s="178"/>
      <c r="Y32" s="504"/>
      <c r="Z32" s="69"/>
      <c r="AA32" s="69"/>
      <c r="AB32" s="69"/>
      <c r="AC32" s="285"/>
      <c r="AD32" s="72"/>
      <c r="AE32" s="69"/>
      <c r="AF32" s="69"/>
      <c r="AG32" s="69"/>
      <c r="AH32" s="285"/>
      <c r="AI32" s="72"/>
      <c r="AJ32" s="69"/>
      <c r="AK32" s="69"/>
      <c r="AL32" s="69"/>
      <c r="AM32" s="285"/>
      <c r="AN32" s="72"/>
      <c r="AO32" s="69"/>
      <c r="AP32" s="69"/>
      <c r="AQ32" s="69"/>
      <c r="AR32" s="285"/>
      <c r="AS32" s="72"/>
      <c r="AT32" s="69"/>
      <c r="AU32" s="69"/>
      <c r="AV32" s="69"/>
      <c r="AW32" s="285"/>
      <c r="AX32" s="72"/>
      <c r="AY32" s="69"/>
      <c r="AZ32" s="69"/>
      <c r="BA32" s="69"/>
      <c r="BB32" s="285"/>
      <c r="BC32" s="72"/>
      <c r="BD32" s="69"/>
      <c r="BE32" s="69"/>
      <c r="BF32" s="69"/>
      <c r="BG32" s="285"/>
      <c r="BH32" s="72"/>
      <c r="BI32" s="69"/>
      <c r="BJ32" s="69"/>
      <c r="BK32" s="69"/>
      <c r="BL32" s="285"/>
      <c r="BM32" s="72"/>
      <c r="BN32" s="69"/>
      <c r="BO32" s="69"/>
      <c r="BP32" s="69"/>
      <c r="BQ32" s="285"/>
      <c r="BR32" s="72"/>
      <c r="BS32" s="69"/>
      <c r="BT32" s="69"/>
      <c r="BU32" s="69"/>
      <c r="BV32" s="285"/>
      <c r="BW32" s="72"/>
      <c r="BX32" s="69"/>
      <c r="BY32" s="69"/>
      <c r="BZ32" s="69"/>
      <c r="CA32" s="285"/>
      <c r="CB32" s="72"/>
      <c r="CC32" s="69"/>
      <c r="CD32" s="69"/>
      <c r="CE32" s="69"/>
      <c r="CF32" s="285"/>
      <c r="CG32" s="89"/>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1" t="s">
        <v>201</v>
      </c>
      <c r="B33" s="281">
        <v>0</v>
      </c>
      <c r="C33" s="269">
        <v>0.02</v>
      </c>
      <c r="D33" s="116"/>
      <c r="E33" s="117"/>
      <c r="F33" s="104">
        <v>800</v>
      </c>
      <c r="G33" s="70">
        <v>800</v>
      </c>
      <c r="H33" s="362">
        <f>SUM((IF(ISBLANK(D33),B33,D33))+(H34*(IF(ISBLANK(E33),C33,E33))))</f>
        <v>100</v>
      </c>
      <c r="I33" s="70">
        <f>SUM((IF(ISBLANK(D33),B33,D33))+(I34*(IF(ISBLANK(E33),C33,E33))))</f>
        <v>100</v>
      </c>
      <c r="J33" s="282">
        <f>SUM(AC33+AH33+AM33+AR33)</f>
        <v>5400</v>
      </c>
      <c r="K33" s="70">
        <f>SUM((IF(ISBLANK(D33),B33,D33))+(K34*(IF(ISBLANK(E33),C33,E33))))</f>
        <v>100</v>
      </c>
      <c r="L33" s="70">
        <f>SUM((IF(ISBLANK(D33),B33,D33))+(L34*(IF(ISBLANK(E33),C33,E33))))</f>
        <v>100</v>
      </c>
      <c r="M33" s="70">
        <f>SUM((IF(ISBLANK(D33),B33,D33))+(M34*(IF(ISBLANK(E33),C33,E33))))</f>
        <v>100</v>
      </c>
      <c r="N33" s="70">
        <f>SUM((IF(ISBLANK(D33),B33,D33))+(N34*(IF(ISBLANK(E33),C33,E33))))</f>
        <v>100</v>
      </c>
      <c r="O33" s="282">
        <f>SUM(AW33+BB33+BG33+BL33)</f>
        <v>1200</v>
      </c>
      <c r="P33" s="70">
        <f>SUM((IF(ISBLANK(D33),B33,D33))+(P34*(IF(ISBLANK(E33),C33,E33))))</f>
        <v>140</v>
      </c>
      <c r="Q33" s="70">
        <f>SUM((IF(ISBLANK(D33),B33,D33))+(Q34*(IF(ISBLANK(E33),C33,E33))))</f>
        <v>200</v>
      </c>
      <c r="R33" s="70">
        <f>SUM((IF(ISBLANK(D33),B33,D33))+(R34*(IF(ISBLANK(E33),C33,E33))))</f>
        <v>300</v>
      </c>
      <c r="S33" s="70">
        <f>SUM((IF(ISBLANK(D33),B33,D33))+(S34*(IF(ISBLANK(E33),C33,E33))))</f>
        <v>400</v>
      </c>
      <c r="T33" s="305">
        <f>SUM(BQ33+BV33+CA33+CF33)</f>
        <v>3120</v>
      </c>
      <c r="U33" s="281">
        <f>SUM((IF(ISBLANK(D33),B33,D33))+(U34*(IF(ISBLANK(E33),C33,E33))))</f>
        <v>4800</v>
      </c>
      <c r="V33" s="282">
        <f>SUM((IF(ISBLANK(D33),B33,D33))+(V34*(IF(ISBLANK(E33),C33,E33))))</f>
        <v>4800</v>
      </c>
      <c r="W33" s="283">
        <f>SUM((IF(ISBLANK(D33),B33,D33))+(W34*(IF(ISBLANK(E33),C33,E33))))</f>
        <v>4800</v>
      </c>
      <c r="X33" s="177"/>
      <c r="Y33" s="505">
        <f>SUM(11102+10095+8000)</f>
        <v>29197</v>
      </c>
      <c r="Z33" s="70">
        <f>F33</f>
        <v>800</v>
      </c>
      <c r="AA33" s="70">
        <f>F33</f>
        <v>800</v>
      </c>
      <c r="AB33" s="70">
        <f>F33</f>
        <v>800</v>
      </c>
      <c r="AC33" s="282">
        <f t="shared" ref="AC33:AC43" si="134">SUM(Z33:AB33)</f>
        <v>2400</v>
      </c>
      <c r="AD33" s="74"/>
      <c r="AE33" s="70">
        <f>G33</f>
        <v>800</v>
      </c>
      <c r="AF33" s="70">
        <f>G33</f>
        <v>800</v>
      </c>
      <c r="AG33" s="70">
        <f>G33</f>
        <v>800</v>
      </c>
      <c r="AH33" s="282">
        <f t="shared" ref="AH33:AH46" si="135">SUM(AE33:AG33)</f>
        <v>2400</v>
      </c>
      <c r="AI33" s="74"/>
      <c r="AJ33" s="70">
        <f>H33</f>
        <v>100</v>
      </c>
      <c r="AK33" s="70">
        <f>H33</f>
        <v>100</v>
      </c>
      <c r="AL33" s="70">
        <f>H33</f>
        <v>100</v>
      </c>
      <c r="AM33" s="282">
        <f t="shared" ref="AM33:AM43" si="136">SUM(AJ33:AL33)</f>
        <v>300</v>
      </c>
      <c r="AN33" s="74"/>
      <c r="AO33" s="70">
        <f>I33</f>
        <v>100</v>
      </c>
      <c r="AP33" s="70">
        <f>I33</f>
        <v>100</v>
      </c>
      <c r="AQ33" s="70">
        <f>I33</f>
        <v>100</v>
      </c>
      <c r="AR33" s="282">
        <f t="shared" ref="AR33:AR43" si="137">SUM(AO33:AQ33)</f>
        <v>300</v>
      </c>
      <c r="AS33" s="74"/>
      <c r="AT33" s="70">
        <f>K33</f>
        <v>100</v>
      </c>
      <c r="AU33" s="70">
        <f>K33</f>
        <v>100</v>
      </c>
      <c r="AV33" s="70">
        <f>K33</f>
        <v>100</v>
      </c>
      <c r="AW33" s="282">
        <f t="shared" ref="AW33:AW43" si="138">SUM(AT33:AV33)</f>
        <v>300</v>
      </c>
      <c r="AX33" s="74"/>
      <c r="AY33" s="70">
        <f>L33</f>
        <v>100</v>
      </c>
      <c r="AZ33" s="70">
        <f>L33</f>
        <v>100</v>
      </c>
      <c r="BA33" s="70">
        <f>L33</f>
        <v>100</v>
      </c>
      <c r="BB33" s="282">
        <f t="shared" ref="BB33:BB43" si="139">SUM(AY33:BA33)</f>
        <v>300</v>
      </c>
      <c r="BC33" s="74"/>
      <c r="BD33" s="70">
        <f>M33</f>
        <v>100</v>
      </c>
      <c r="BE33" s="70">
        <f>M33</f>
        <v>100</v>
      </c>
      <c r="BF33" s="70">
        <f>M33</f>
        <v>100</v>
      </c>
      <c r="BG33" s="282">
        <f t="shared" ref="BG33:BG43" si="140">SUM(BD33:BF33)</f>
        <v>300</v>
      </c>
      <c r="BH33" s="74"/>
      <c r="BI33" s="70">
        <f>N33</f>
        <v>100</v>
      </c>
      <c r="BJ33" s="70">
        <f>N33</f>
        <v>100</v>
      </c>
      <c r="BK33" s="70">
        <f>N33</f>
        <v>100</v>
      </c>
      <c r="BL33" s="282">
        <f t="shared" ref="BL33:BL43" si="141">SUM(BI33:BK33)</f>
        <v>300</v>
      </c>
      <c r="BM33" s="74"/>
      <c r="BN33" s="70">
        <f>P33</f>
        <v>140</v>
      </c>
      <c r="BO33" s="70">
        <f>P33</f>
        <v>140</v>
      </c>
      <c r="BP33" s="70">
        <f>P33</f>
        <v>140</v>
      </c>
      <c r="BQ33" s="282">
        <f t="shared" ref="BQ33:BQ43" si="142">SUM(BN33:BP33)</f>
        <v>420</v>
      </c>
      <c r="BR33" s="74"/>
      <c r="BS33" s="70">
        <f>Q33</f>
        <v>200</v>
      </c>
      <c r="BT33" s="70">
        <f>Q33</f>
        <v>200</v>
      </c>
      <c r="BU33" s="70">
        <f>Q33</f>
        <v>200</v>
      </c>
      <c r="BV33" s="282">
        <f t="shared" ref="BV33:BV43" si="143">SUM(BS33:BU33)</f>
        <v>600</v>
      </c>
      <c r="BW33" s="74"/>
      <c r="BX33" s="70">
        <f>R33</f>
        <v>300</v>
      </c>
      <c r="BY33" s="70">
        <f>R33</f>
        <v>300</v>
      </c>
      <c r="BZ33" s="70">
        <f>R33</f>
        <v>300</v>
      </c>
      <c r="CA33" s="282">
        <f t="shared" ref="CA33:CA43" si="144">SUM(BX33:BZ33)</f>
        <v>900</v>
      </c>
      <c r="CB33" s="74"/>
      <c r="CC33" s="70">
        <f>S33</f>
        <v>400</v>
      </c>
      <c r="CD33" s="70">
        <f>S33</f>
        <v>400</v>
      </c>
      <c r="CE33" s="70">
        <f>S33</f>
        <v>400</v>
      </c>
      <c r="CF33" s="282">
        <f t="shared" ref="CF33:CF43" si="145">SUM(CC33:CE33)</f>
        <v>1200</v>
      </c>
      <c r="CG33" s="88"/>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1" t="s">
        <v>202</v>
      </c>
      <c r="B34" s="270">
        <v>0</v>
      </c>
      <c r="C34" s="269">
        <v>0</v>
      </c>
      <c r="D34" s="118"/>
      <c r="E34" s="117"/>
      <c r="F34" s="130">
        <v>20000</v>
      </c>
      <c r="G34" s="131">
        <v>20000</v>
      </c>
      <c r="H34" s="362">
        <v>5000</v>
      </c>
      <c r="I34" s="362">
        <v>5000</v>
      </c>
      <c r="J34" s="282">
        <f t="shared" ref="J34:J45" si="146">SUM(AC34+AH34+AM34+AR34)</f>
        <v>150000</v>
      </c>
      <c r="K34" s="362">
        <f>SUM(IF(ISBLANK(D34),      (IF((2*(IF(ISBLANK(E34),C34,E34)) + B34) &lt; 0,     0,     (2*(IF(ISBLANK(E34),C34,E34)) + B34)   )),       (IF((2*(IF(ISBLANK(E34),C34,E34)) + D34) &lt; 0,     0,     (2*(IF(ISBLANK(E34),C34,E34)) + D34)   ))  )       *   (K30/3)+(I34))</f>
        <v>5000</v>
      </c>
      <c r="L34" s="362">
        <f>SUM(IF(ISBLANK(D34),      (IF((3*(IF(ISBLANK(E34),C34,E34)) + B34) &lt; 0,     0,     (3*(IF(ISBLANK(E34),C34,E34)) + B34)   )),       (IF((3*(IF(ISBLANK(E34),C34,E34)) + D34) &lt; 0,     0,     (3*(IF(ISBLANK(E34),C34,E34)) + D34)   ))  )       *   (L30/3)+(K34))</f>
        <v>5000</v>
      </c>
      <c r="M34" s="362">
        <f>SUM(IF(ISBLANK(D34),      (IF((4*(IF(ISBLANK(E34),C34,E34)) + B34) &lt; 0,     0,     (4*(IF(ISBLANK(E34),C34,E34)) + B34)   )),       (IF((4*(IF(ISBLANK(E34),C34,E34)) + D34) &lt; 0,     0,     (4*(IF(ISBLANK(E34),C34,E34)) + D34)   ))  )       *   (M30/3)+(L34))</f>
        <v>5000</v>
      </c>
      <c r="N34" s="362">
        <f>SUM(IF(ISBLANK(D34),      (IF((5*(IF(ISBLANK(E34),C34,E34)) + B34) &lt; 0,     0,     (5*(IF(ISBLANK(E34),C34,E34)) + B34)   )),       (IF((5*(IF(ISBLANK(E34),C34,E34)) + D34) &lt; 0,     0,     (5*(IF(ISBLANK(E34),C34,E34)) + D34)   ))  )       *   (N30/3)+(M34))</f>
        <v>5000</v>
      </c>
      <c r="O34" s="282">
        <f t="shared" ref="O34:O45" si="147">SUM(AW34+BB34+BG34+BL34)</f>
        <v>60000</v>
      </c>
      <c r="P34" s="362">
        <v>7000</v>
      </c>
      <c r="Q34" s="362">
        <v>10000</v>
      </c>
      <c r="R34" s="362">
        <v>15000</v>
      </c>
      <c r="S34" s="362">
        <v>20000</v>
      </c>
      <c r="T34" s="305">
        <f t="shared" ref="T34:T45" si="148">SUM(BQ34+BV34+CA34+CF34)</f>
        <v>156000</v>
      </c>
      <c r="U34" s="281">
        <f>SUM(IF(ISBLANK(D34),      (IF((10*(IF(ISBLANK(E34),C34,E34)) + B34) &lt; 0,     0,     (10*(IF(ISBLANK(E34),C34,E34)) + B34)   )),       (IF((10*(IF(ISBLANK(E34),C34,E34)) + D34) &lt; 0,     0,     (10*(IF(ISBLANK(E34),C34,E34)) + D34)   ))  )       *   (U30/3)+(S34))*12</f>
        <v>240000</v>
      </c>
      <c r="V34" s="282">
        <f>SUM(IF(ISBLANK(D34),      (IF((11*(IF(ISBLANK(E34),C34,E34)) + B34) &lt; 0,     0,     (11*(IF(ISBLANK(E34),C34,E34)) + B34)   )),       (IF((11*(IF(ISBLANK(E34),C34,E34)) + D34) &lt; 0,     0,     (11*(IF(ISBLANK(E34),C34,E34)) + D34)   ))  )       *   (V30/12)+(U34/12))*12</f>
        <v>240000</v>
      </c>
      <c r="W34" s="283">
        <f>SUM(IF(ISBLANK(D34),      (IF((12*(IF(ISBLANK(E34),C34,E34)) + B34) &lt; 0,     0,     (12*(IF(ISBLANK(E34),C34,E34)) + B34)   )),       (IF((12*(IF(ISBLANK(E34),C34,E34)) + D34) &lt; 0,     0,     (12*(IF(ISBLANK(E34),C34,E34)) + D34)   ))  )       *   (W30/12)+(V34/12))*12</f>
        <v>240000</v>
      </c>
      <c r="X34" s="177"/>
      <c r="Y34" s="505">
        <f>SUM(30664+342396+71683+36198+34170+34090+28752+50203+25449+25629+23773+25295+25295+20000)</f>
        <v>773597</v>
      </c>
      <c r="Z34" s="70">
        <f t="shared" ref="Z34:Z46" si="149">F34</f>
        <v>20000</v>
      </c>
      <c r="AA34" s="70">
        <f t="shared" ref="AA34:AA46" si="150">F34</f>
        <v>20000</v>
      </c>
      <c r="AB34" s="70">
        <f t="shared" ref="AB34:AB46" si="151">F34</f>
        <v>20000</v>
      </c>
      <c r="AC34" s="282">
        <f t="shared" si="134"/>
        <v>60000</v>
      </c>
      <c r="AD34" s="74"/>
      <c r="AE34" s="70">
        <f t="shared" ref="AE34:AE46" si="152">G34</f>
        <v>20000</v>
      </c>
      <c r="AF34" s="70">
        <f t="shared" ref="AF34:AF46" si="153">G34</f>
        <v>20000</v>
      </c>
      <c r="AG34" s="70">
        <f t="shared" ref="AG34:AG46" si="154">G34</f>
        <v>20000</v>
      </c>
      <c r="AH34" s="282">
        <f t="shared" si="135"/>
        <v>60000</v>
      </c>
      <c r="AI34" s="74"/>
      <c r="AJ34" s="70">
        <f t="shared" ref="AJ34:AJ46" si="155">H34</f>
        <v>5000</v>
      </c>
      <c r="AK34" s="70">
        <f t="shared" ref="AK34:AK46" si="156">H34</f>
        <v>5000</v>
      </c>
      <c r="AL34" s="70">
        <f t="shared" ref="AL34:AL46" si="157">H34</f>
        <v>5000</v>
      </c>
      <c r="AM34" s="282">
        <f t="shared" si="136"/>
        <v>15000</v>
      </c>
      <c r="AN34" s="74"/>
      <c r="AO34" s="70">
        <f t="shared" ref="AO34:AO46" si="158">I34</f>
        <v>5000</v>
      </c>
      <c r="AP34" s="70">
        <f t="shared" ref="AP34:AP46" si="159">I34</f>
        <v>5000</v>
      </c>
      <c r="AQ34" s="70">
        <f t="shared" ref="AQ34:AQ46" si="160">I34</f>
        <v>5000</v>
      </c>
      <c r="AR34" s="282">
        <f t="shared" si="137"/>
        <v>15000</v>
      </c>
      <c r="AS34" s="74"/>
      <c r="AT34" s="70">
        <f t="shared" ref="AT34:AT46" si="161">K34</f>
        <v>5000</v>
      </c>
      <c r="AU34" s="70">
        <f t="shared" ref="AU34:AU46" si="162">K34</f>
        <v>5000</v>
      </c>
      <c r="AV34" s="70">
        <f t="shared" ref="AV34:AV46" si="163">K34</f>
        <v>5000</v>
      </c>
      <c r="AW34" s="282">
        <f t="shared" si="138"/>
        <v>15000</v>
      </c>
      <c r="AX34" s="74"/>
      <c r="AY34" s="70">
        <f t="shared" ref="AY34:AY46" si="164">L34</f>
        <v>5000</v>
      </c>
      <c r="AZ34" s="70">
        <f t="shared" ref="AZ34:AZ46" si="165">L34</f>
        <v>5000</v>
      </c>
      <c r="BA34" s="70">
        <f t="shared" ref="BA34:BA46" si="166">L34</f>
        <v>5000</v>
      </c>
      <c r="BB34" s="282">
        <f t="shared" si="139"/>
        <v>15000</v>
      </c>
      <c r="BC34" s="74"/>
      <c r="BD34" s="70">
        <f t="shared" ref="BD34:BD46" si="167">M34</f>
        <v>5000</v>
      </c>
      <c r="BE34" s="70">
        <f t="shared" ref="BE34:BE46" si="168">M34</f>
        <v>5000</v>
      </c>
      <c r="BF34" s="70">
        <f t="shared" ref="BF34:BF46" si="169">M34</f>
        <v>5000</v>
      </c>
      <c r="BG34" s="282">
        <f t="shared" si="140"/>
        <v>15000</v>
      </c>
      <c r="BH34" s="74"/>
      <c r="BI34" s="70">
        <f t="shared" ref="BI34:BI46" si="170">N34</f>
        <v>5000</v>
      </c>
      <c r="BJ34" s="70">
        <f t="shared" ref="BJ34:BJ46" si="171">N34</f>
        <v>5000</v>
      </c>
      <c r="BK34" s="70">
        <f t="shared" ref="BK34:BK46" si="172">N34</f>
        <v>5000</v>
      </c>
      <c r="BL34" s="282">
        <f t="shared" si="141"/>
        <v>15000</v>
      </c>
      <c r="BM34" s="74"/>
      <c r="BN34" s="70">
        <f t="shared" ref="BN34:BN46" si="173">P34</f>
        <v>7000</v>
      </c>
      <c r="BO34" s="70">
        <f t="shared" ref="BO34:BO43" si="174">P34</f>
        <v>7000</v>
      </c>
      <c r="BP34" s="70">
        <f t="shared" ref="BP34:BP46" si="175">P34</f>
        <v>7000</v>
      </c>
      <c r="BQ34" s="282">
        <f t="shared" si="142"/>
        <v>21000</v>
      </c>
      <c r="BR34" s="74"/>
      <c r="BS34" s="70">
        <f t="shared" ref="BS34:BS46" si="176">Q34</f>
        <v>10000</v>
      </c>
      <c r="BT34" s="70">
        <f t="shared" ref="BT34:BT46" si="177">Q34</f>
        <v>10000</v>
      </c>
      <c r="BU34" s="70">
        <f t="shared" ref="BU34:BU46" si="178">Q34</f>
        <v>10000</v>
      </c>
      <c r="BV34" s="282">
        <f t="shared" si="143"/>
        <v>30000</v>
      </c>
      <c r="BW34" s="74"/>
      <c r="BX34" s="70">
        <f t="shared" ref="BX34:BX46" si="179">R34</f>
        <v>15000</v>
      </c>
      <c r="BY34" s="70">
        <f t="shared" ref="BY34:BY46" si="180">R34</f>
        <v>15000</v>
      </c>
      <c r="BZ34" s="70">
        <f t="shared" ref="BZ34:BZ46" si="181">R34</f>
        <v>15000</v>
      </c>
      <c r="CA34" s="282">
        <f t="shared" si="144"/>
        <v>45000</v>
      </c>
      <c r="CB34" s="74"/>
      <c r="CC34" s="70">
        <f t="shared" ref="CC34:CC46" si="182">S34</f>
        <v>20000</v>
      </c>
      <c r="CD34" s="70">
        <f t="shared" ref="CD34:CD46" si="183">S34</f>
        <v>20000</v>
      </c>
      <c r="CE34" s="70">
        <f t="shared" ref="CE34:CE46" si="184">S34</f>
        <v>20000</v>
      </c>
      <c r="CF34" s="282">
        <f t="shared" si="145"/>
        <v>60000</v>
      </c>
      <c r="CG34" s="88"/>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1" t="s">
        <v>203</v>
      </c>
      <c r="B35" s="281">
        <v>0</v>
      </c>
      <c r="C35" s="293">
        <v>0.01</v>
      </c>
      <c r="D35" s="116"/>
      <c r="E35" s="117"/>
      <c r="F35" s="104">
        <f>SUM((IF(ISBLANK(D35),B35,D35))+(F34*(IF(ISBLANK(E35),C35,E35))))</f>
        <v>200</v>
      </c>
      <c r="G35" s="70">
        <f>SUM((IF(ISBLANK(D35),B35,D35))+(G34*(IF(ISBLANK(E35),C35,E35))))</f>
        <v>200</v>
      </c>
      <c r="H35" s="362">
        <f>SUM((IF(ISBLANK(D35),B35,D35))+(H34*(IF(ISBLANK(E35),C35,E35))))</f>
        <v>50</v>
      </c>
      <c r="I35" s="70">
        <f>SUM((IF(ISBLANK(D35),B35,D35))+(I34*(IF(ISBLANK(E35),C35,E35))))</f>
        <v>50</v>
      </c>
      <c r="J35" s="282">
        <f t="shared" si="146"/>
        <v>1500</v>
      </c>
      <c r="K35" s="70">
        <f>SUM((IF(ISBLANK(D35),B35,D35))+(K34*(IF(ISBLANK(E35),C35,E35))))</f>
        <v>50</v>
      </c>
      <c r="L35" s="70">
        <f>SUM((IF(ISBLANK(D35),B35,D35))+(L34*(IF(ISBLANK(E35),C35,E35))))</f>
        <v>50</v>
      </c>
      <c r="M35" s="70">
        <f>SUM((IF(ISBLANK(D35),B35,D35))+(M34*(IF(ISBLANK(E35),C35,E35))))</f>
        <v>50</v>
      </c>
      <c r="N35" s="70">
        <f>SUM((IF(ISBLANK(D35),B35,D35))+(N34*(IF(ISBLANK(E35),C35,E35))))</f>
        <v>50</v>
      </c>
      <c r="O35" s="282">
        <f t="shared" si="147"/>
        <v>600</v>
      </c>
      <c r="P35" s="70">
        <f>SUM((IF(ISBLANK(D35),B35,D35))+(P34*(IF(ISBLANK(E35),C35,E35))))</f>
        <v>70</v>
      </c>
      <c r="Q35" s="70">
        <f>SUM((IF(ISBLANK(D35),B35,D35))+(Q34*(IF(ISBLANK(E35),C35,E35))))</f>
        <v>100</v>
      </c>
      <c r="R35" s="70">
        <f>SUM((IF(ISBLANK(D35),B35,D35))+(R34*(IF(ISBLANK(E35),C35,E35))))</f>
        <v>150</v>
      </c>
      <c r="S35" s="70">
        <f>SUM((IF(ISBLANK(D35),B35,D35))+(S34*(IF(ISBLANK(E35),C35,E35))))</f>
        <v>200</v>
      </c>
      <c r="T35" s="305">
        <f t="shared" si="148"/>
        <v>1560</v>
      </c>
      <c r="U35" s="281">
        <f>SUM((IF(ISBLANK(D35),B35,D35))+(U34*(IF(ISBLANK(E35),C35,E35))))</f>
        <v>2400</v>
      </c>
      <c r="V35" s="282">
        <f>SUM((IF(ISBLANK(D35),B35,D35))+(V34*(IF(ISBLANK(E35),C35,E35))))</f>
        <v>2400</v>
      </c>
      <c r="W35" s="283">
        <f>SUM((IF(ISBLANK(D35),B35,D35))+(W34*(IF(ISBLANK(E35),C35,E35))))</f>
        <v>2400</v>
      </c>
      <c r="X35" s="177"/>
      <c r="Y35" s="505">
        <v>4000</v>
      </c>
      <c r="Z35" s="70">
        <f t="shared" si="149"/>
        <v>200</v>
      </c>
      <c r="AA35" s="70">
        <f t="shared" si="150"/>
        <v>200</v>
      </c>
      <c r="AB35" s="70">
        <f t="shared" si="151"/>
        <v>200</v>
      </c>
      <c r="AC35" s="282">
        <f t="shared" si="134"/>
        <v>600</v>
      </c>
      <c r="AD35" s="74"/>
      <c r="AE35" s="70">
        <f t="shared" si="152"/>
        <v>200</v>
      </c>
      <c r="AF35" s="70">
        <f t="shared" si="153"/>
        <v>200</v>
      </c>
      <c r="AG35" s="70">
        <f t="shared" si="154"/>
        <v>200</v>
      </c>
      <c r="AH35" s="282">
        <f t="shared" si="135"/>
        <v>600</v>
      </c>
      <c r="AI35" s="74"/>
      <c r="AJ35" s="70">
        <f t="shared" si="155"/>
        <v>50</v>
      </c>
      <c r="AK35" s="70">
        <f t="shared" si="156"/>
        <v>50</v>
      </c>
      <c r="AL35" s="70">
        <f t="shared" si="157"/>
        <v>50</v>
      </c>
      <c r="AM35" s="282">
        <f t="shared" si="136"/>
        <v>150</v>
      </c>
      <c r="AN35" s="74"/>
      <c r="AO35" s="70">
        <f t="shared" si="158"/>
        <v>50</v>
      </c>
      <c r="AP35" s="70">
        <f t="shared" si="159"/>
        <v>50</v>
      </c>
      <c r="AQ35" s="70">
        <f t="shared" si="160"/>
        <v>50</v>
      </c>
      <c r="AR35" s="282">
        <f t="shared" si="137"/>
        <v>150</v>
      </c>
      <c r="AS35" s="74"/>
      <c r="AT35" s="70">
        <f t="shared" si="161"/>
        <v>50</v>
      </c>
      <c r="AU35" s="70">
        <f t="shared" si="162"/>
        <v>50</v>
      </c>
      <c r="AV35" s="70">
        <f t="shared" si="163"/>
        <v>50</v>
      </c>
      <c r="AW35" s="282">
        <f t="shared" si="138"/>
        <v>150</v>
      </c>
      <c r="AX35" s="74"/>
      <c r="AY35" s="70">
        <f t="shared" si="164"/>
        <v>50</v>
      </c>
      <c r="AZ35" s="70">
        <f t="shared" si="165"/>
        <v>50</v>
      </c>
      <c r="BA35" s="70">
        <f t="shared" si="166"/>
        <v>50</v>
      </c>
      <c r="BB35" s="282">
        <f t="shared" si="139"/>
        <v>150</v>
      </c>
      <c r="BC35" s="74"/>
      <c r="BD35" s="70">
        <f t="shared" si="167"/>
        <v>50</v>
      </c>
      <c r="BE35" s="70">
        <f t="shared" si="168"/>
        <v>50</v>
      </c>
      <c r="BF35" s="70">
        <f t="shared" si="169"/>
        <v>50</v>
      </c>
      <c r="BG35" s="282">
        <f t="shared" si="140"/>
        <v>150</v>
      </c>
      <c r="BH35" s="74"/>
      <c r="BI35" s="70">
        <f t="shared" si="170"/>
        <v>50</v>
      </c>
      <c r="BJ35" s="70">
        <f t="shared" si="171"/>
        <v>50</v>
      </c>
      <c r="BK35" s="70">
        <f t="shared" si="172"/>
        <v>50</v>
      </c>
      <c r="BL35" s="282">
        <f t="shared" si="141"/>
        <v>150</v>
      </c>
      <c r="BM35" s="74"/>
      <c r="BN35" s="70">
        <f t="shared" si="173"/>
        <v>70</v>
      </c>
      <c r="BO35" s="70">
        <f t="shared" si="174"/>
        <v>70</v>
      </c>
      <c r="BP35" s="70">
        <f t="shared" si="175"/>
        <v>70</v>
      </c>
      <c r="BQ35" s="282">
        <f t="shared" si="142"/>
        <v>210</v>
      </c>
      <c r="BR35" s="74"/>
      <c r="BS35" s="70">
        <f t="shared" si="176"/>
        <v>100</v>
      </c>
      <c r="BT35" s="70">
        <f t="shared" si="177"/>
        <v>100</v>
      </c>
      <c r="BU35" s="70">
        <f t="shared" si="178"/>
        <v>100</v>
      </c>
      <c r="BV35" s="282">
        <f t="shared" si="143"/>
        <v>300</v>
      </c>
      <c r="BW35" s="74"/>
      <c r="BX35" s="70">
        <f t="shared" si="179"/>
        <v>150</v>
      </c>
      <c r="BY35" s="70">
        <f t="shared" si="180"/>
        <v>150</v>
      </c>
      <c r="BZ35" s="70">
        <f t="shared" si="181"/>
        <v>150</v>
      </c>
      <c r="CA35" s="282">
        <f t="shared" si="144"/>
        <v>450</v>
      </c>
      <c r="CB35" s="74"/>
      <c r="CC35" s="70">
        <f t="shared" si="182"/>
        <v>200</v>
      </c>
      <c r="CD35" s="70">
        <f t="shared" si="183"/>
        <v>200</v>
      </c>
      <c r="CE35" s="70">
        <f t="shared" si="184"/>
        <v>200</v>
      </c>
      <c r="CF35" s="282">
        <f t="shared" si="145"/>
        <v>600</v>
      </c>
      <c r="CG35" s="88"/>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1" t="s">
        <v>204</v>
      </c>
      <c r="B36" s="363">
        <v>500</v>
      </c>
      <c r="C36" s="269">
        <v>0</v>
      </c>
      <c r="D36" s="116"/>
      <c r="E36" s="117"/>
      <c r="F36" s="104">
        <v>3200</v>
      </c>
      <c r="G36" s="70">
        <v>3200</v>
      </c>
      <c r="H36" s="362">
        <f>SUM((IF(ISBLANK(D36),B36,D36))+(H34*(IF(ISBLANK(E36),C36,E36))))</f>
        <v>500</v>
      </c>
      <c r="I36" s="70">
        <f>SUM((IF(ISBLANK(D36),B36,D36))+(I34*(IF(ISBLANK(E36),C36,E36))))</f>
        <v>500</v>
      </c>
      <c r="J36" s="282">
        <f t="shared" si="146"/>
        <v>22200</v>
      </c>
      <c r="K36" s="70">
        <f>SUM((IF(ISBLANK(D36),B36,D36))+(K34*(IF(ISBLANK(E36),C36,E36))))</f>
        <v>500</v>
      </c>
      <c r="L36" s="70">
        <f>SUM((IF(ISBLANK(D36),B36,D36))+(L34*(IF(ISBLANK(E36),C36,E36))))</f>
        <v>500</v>
      </c>
      <c r="M36" s="70">
        <f>SUM((IF(ISBLANK(D36),B36,D36))+(M34*(IF(ISBLANK(E36),C36,E36))))</f>
        <v>500</v>
      </c>
      <c r="N36" s="70">
        <f>SUM((IF(ISBLANK(D36),B36,D36))+(N34*(IF(ISBLANK(E36),C36,E36))))</f>
        <v>500</v>
      </c>
      <c r="O36" s="282">
        <f t="shared" si="147"/>
        <v>6000</v>
      </c>
      <c r="P36" s="70">
        <f>SUM((IF(ISBLANK(D36),B36,D36))+(P34*(IF(ISBLANK(E36),C36,E36))))</f>
        <v>500</v>
      </c>
      <c r="Q36" s="70">
        <f>SUM((IF(ISBLANK(D36),B36,D36))+(Q34*(IF(ISBLANK(E36),C36,E36))))</f>
        <v>500</v>
      </c>
      <c r="R36" s="70">
        <f>SUM((IF(ISBLANK(D36),B36,D36))+(R34*(IF(ISBLANK(E36),C36,E36))))</f>
        <v>500</v>
      </c>
      <c r="S36" s="70">
        <f>SUM((IF(ISBLANK(D36),B36,D36))+(S34*(IF(ISBLANK(E36),C36,E36))))</f>
        <v>500</v>
      </c>
      <c r="T36" s="305">
        <f t="shared" si="148"/>
        <v>6000</v>
      </c>
      <c r="U36" s="281">
        <f>SUM((IF(ISBLANK(D36),B36,D36))+(U34*(IF(ISBLANK(E36),C36,E36))))</f>
        <v>500</v>
      </c>
      <c r="V36" s="282">
        <f>SUM((IF(ISBLANK(D36),B36,D36))+(V34*(IF(ISBLANK(E36),C36,E36))))</f>
        <v>500</v>
      </c>
      <c r="W36" s="283">
        <f>SUM((IF(ISBLANK(D36),B36,D36))+(W34*(IF(ISBLANK(E36),C36,E36))))</f>
        <v>500</v>
      </c>
      <c r="X36" s="177"/>
      <c r="Y36" s="505">
        <f>SUM(3832+10734+12859+20000)</f>
        <v>47425</v>
      </c>
      <c r="Z36" s="70">
        <f t="shared" si="149"/>
        <v>3200</v>
      </c>
      <c r="AA36" s="70">
        <f t="shared" si="150"/>
        <v>3200</v>
      </c>
      <c r="AB36" s="70">
        <f t="shared" si="151"/>
        <v>3200</v>
      </c>
      <c r="AC36" s="282">
        <f t="shared" si="134"/>
        <v>9600</v>
      </c>
      <c r="AD36" s="74"/>
      <c r="AE36" s="70">
        <f t="shared" si="152"/>
        <v>3200</v>
      </c>
      <c r="AF36" s="70">
        <f t="shared" si="153"/>
        <v>3200</v>
      </c>
      <c r="AG36" s="70">
        <f t="shared" si="154"/>
        <v>3200</v>
      </c>
      <c r="AH36" s="282">
        <f t="shared" si="135"/>
        <v>9600</v>
      </c>
      <c r="AI36" s="74"/>
      <c r="AJ36" s="70">
        <f t="shared" si="155"/>
        <v>500</v>
      </c>
      <c r="AK36" s="70">
        <f t="shared" si="156"/>
        <v>500</v>
      </c>
      <c r="AL36" s="70">
        <f t="shared" si="157"/>
        <v>500</v>
      </c>
      <c r="AM36" s="282">
        <f t="shared" si="136"/>
        <v>1500</v>
      </c>
      <c r="AN36" s="74"/>
      <c r="AO36" s="70">
        <f t="shared" si="158"/>
        <v>500</v>
      </c>
      <c r="AP36" s="70">
        <f t="shared" si="159"/>
        <v>500</v>
      </c>
      <c r="AQ36" s="70">
        <f t="shared" si="160"/>
        <v>500</v>
      </c>
      <c r="AR36" s="282">
        <f t="shared" si="137"/>
        <v>1500</v>
      </c>
      <c r="AS36" s="74"/>
      <c r="AT36" s="70">
        <f t="shared" si="161"/>
        <v>500</v>
      </c>
      <c r="AU36" s="70">
        <f t="shared" si="162"/>
        <v>500</v>
      </c>
      <c r="AV36" s="70">
        <f t="shared" si="163"/>
        <v>500</v>
      </c>
      <c r="AW36" s="282">
        <f t="shared" si="138"/>
        <v>1500</v>
      </c>
      <c r="AX36" s="74"/>
      <c r="AY36" s="70">
        <f t="shared" si="164"/>
        <v>500</v>
      </c>
      <c r="AZ36" s="70">
        <f>L36</f>
        <v>500</v>
      </c>
      <c r="BA36" s="70">
        <f t="shared" si="166"/>
        <v>500</v>
      </c>
      <c r="BB36" s="282">
        <f t="shared" si="139"/>
        <v>1500</v>
      </c>
      <c r="BC36" s="74"/>
      <c r="BD36" s="70">
        <f t="shared" si="167"/>
        <v>500</v>
      </c>
      <c r="BE36" s="70">
        <f t="shared" si="168"/>
        <v>500</v>
      </c>
      <c r="BF36" s="70">
        <f t="shared" si="169"/>
        <v>500</v>
      </c>
      <c r="BG36" s="282">
        <f t="shared" si="140"/>
        <v>1500</v>
      </c>
      <c r="BH36" s="74"/>
      <c r="BI36" s="70">
        <f t="shared" si="170"/>
        <v>500</v>
      </c>
      <c r="BJ36" s="70">
        <f t="shared" si="171"/>
        <v>500</v>
      </c>
      <c r="BK36" s="70">
        <f t="shared" si="172"/>
        <v>500</v>
      </c>
      <c r="BL36" s="282">
        <f t="shared" si="141"/>
        <v>1500</v>
      </c>
      <c r="BM36" s="74"/>
      <c r="BN36" s="70">
        <f t="shared" si="173"/>
        <v>500</v>
      </c>
      <c r="BO36" s="70">
        <f t="shared" si="174"/>
        <v>500</v>
      </c>
      <c r="BP36" s="70">
        <f t="shared" si="175"/>
        <v>500</v>
      </c>
      <c r="BQ36" s="282">
        <f t="shared" si="142"/>
        <v>1500</v>
      </c>
      <c r="BR36" s="74"/>
      <c r="BS36" s="70">
        <f t="shared" si="176"/>
        <v>500</v>
      </c>
      <c r="BT36" s="70">
        <f t="shared" si="177"/>
        <v>500</v>
      </c>
      <c r="BU36" s="70">
        <f t="shared" si="178"/>
        <v>500</v>
      </c>
      <c r="BV36" s="282">
        <f t="shared" si="143"/>
        <v>1500</v>
      </c>
      <c r="BW36" s="74"/>
      <c r="BX36" s="70">
        <f t="shared" si="179"/>
        <v>500</v>
      </c>
      <c r="BY36" s="70">
        <f t="shared" si="180"/>
        <v>500</v>
      </c>
      <c r="BZ36" s="70">
        <f t="shared" si="181"/>
        <v>500</v>
      </c>
      <c r="CA36" s="282">
        <f t="shared" si="144"/>
        <v>1500</v>
      </c>
      <c r="CB36" s="74"/>
      <c r="CC36" s="70">
        <f t="shared" si="182"/>
        <v>500</v>
      </c>
      <c r="CD36" s="70">
        <f t="shared" si="183"/>
        <v>500</v>
      </c>
      <c r="CE36" s="70">
        <f t="shared" si="184"/>
        <v>500</v>
      </c>
      <c r="CF36" s="282">
        <f t="shared" si="145"/>
        <v>1500</v>
      </c>
      <c r="CG36" s="88"/>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1" t="s">
        <v>205</v>
      </c>
      <c r="B37" s="260">
        <v>0.3</v>
      </c>
      <c r="C37" s="269">
        <v>0</v>
      </c>
      <c r="D37" s="118"/>
      <c r="E37" s="117"/>
      <c r="F37" s="104">
        <f>SUM((IF(AC21*((0*(IF(ISBLANK(E37),C37,E37)))+IF(ISBLANK(D37),B37,D37)) &lt; 0, 0, (AC21*((0*(IF(ISBLANK(E37),C37,E37)))+IF(ISBLANK(D37),B37,D37)))))/3)</f>
        <v>0</v>
      </c>
      <c r="G37" s="70">
        <f>SUM((IF(AH21*((0*(IF(ISBLANK(E37),C37,E37)))+IF(ISBLANK(D37),B37,D37)) &lt; 0, 0, (AH21*((0*(IF(ISBLANK(E37),C37,E37)))+IF(ISBLANK(D37),B37,D37)))))/3)</f>
        <v>0</v>
      </c>
      <c r="H37" s="70">
        <f>SUM((IF(AM21*((0*(IF(ISBLANK(E37),C37,E37)))+IF(ISBLANK(D37),B37,D37)) &lt; 0, 0, (AM21*((0*(IF(ISBLANK(E37),C37,E37)))+IF(ISBLANK(D37),B37,D37)))))/3)</f>
        <v>444.71566288157754</v>
      </c>
      <c r="I37" s="70">
        <f>SUM((IF(AR21*((1*(IF(ISBLANK(E37),C37,E37)))+IF(ISBLANK(D37),B37,D37)) &lt; 0, 0, (AR21*((1*(IF(ISBLANK(E37),C37,E37)))+IF(ISBLANK(D37),B37,D37)))))/3)</f>
        <v>762.65786574669971</v>
      </c>
      <c r="J37" s="282">
        <f t="shared" si="146"/>
        <v>3622.1205858848316</v>
      </c>
      <c r="K37" s="70">
        <f>SUM((IF(AW21*((2*(IF(ISBLANK(E37),C37,E37)))+IF(ISBLANK(D37),B37,D37)) &lt; 0, 0, (AW21*((2*(IF(ISBLANK(E37),C37,E37)))+IF(ISBLANK(D37),B37,D37)))))/3)</f>
        <v>1136.9671351419056</v>
      </c>
      <c r="L37" s="70">
        <f>SUM((IF(BB21*((3*(IF(ISBLANK(E37),C37,E37)))+IF(ISBLANK(D37),B37,D37)) &lt; 0, 0, (BB21*((3*(IF(ISBLANK(E37),C37,E37)))+IF(ISBLANK(D37),B37,D37)))))/3)</f>
        <v>1563.6482003431754</v>
      </c>
      <c r="M37" s="70">
        <f>SUM((IF(BG21*((4*(IF(ISBLANK(E37),C37,E37)))+IF(ISBLANK(D37),B37,D37)) &lt; 0, 0, (BG21*((4*(IF(ISBLANK(E37),C37,E37)))+IF(ISBLANK(D37),B37,D37)))))/3)</f>
        <v>2033.6758893364365</v>
      </c>
      <c r="N37" s="70">
        <f>SUM((IF(BL21*((5*(IF(ISBLANK(E37),C37,E37)))+IF(ISBLANK(D37),B37,D37)) &lt; 0, 0, (BL21*((5*(IF(ISBLANK(E37),C37,E37)))+IF(ISBLANK(D37),B37,D37)))))/3)</f>
        <v>2556.5870925576482</v>
      </c>
      <c r="O37" s="282">
        <f t="shared" si="147"/>
        <v>21872.634952137498</v>
      </c>
      <c r="P37" s="70">
        <f>SUM((IF(BQ21*((6*(IF(ISBLANK(E37),C37,E37)))+IF(ISBLANK(D37),B37,D37)) &lt; 0, 0, (BQ21*((6*(IF(ISBLANK(E37),C37,E37)))+IF(ISBLANK(D37),B37,D37)))))/3)</f>
        <v>3163.313409600712</v>
      </c>
      <c r="Q37" s="70">
        <f>SUM((IF(BV21*((7*(IF(ISBLANK(E37),C37,E37)))+IF(ISBLANK(D37),B37,D37)) &lt; 0, 0, (BV21*((7*(IF(ISBLANK(E37),C37,E37)))+IF(ISBLANK(D37),B37,D37)))))/3)</f>
        <v>3876.349919606469</v>
      </c>
      <c r="R37" s="70">
        <f>SUM((IF(CA21*((8*(IF(ISBLANK(E37),C37,E37)))+IF(ISBLANK(D37),B37,D37)) &lt; 0, 0, (CA21*((8*(IF(ISBLANK(E37),C37,E37)))+IF(ISBLANK(D37),B37,D37)))))/3)</f>
        <v>4710.6081733228502</v>
      </c>
      <c r="S37" s="70">
        <f>SUM((IF(CF21*((9*(IF(ISBLANK(E37),C37,E37)))+IF(ISBLANK(D37),B37,D37)) &lt; 0, 0, (CF21*((9*(IF(ISBLANK(E37),C37,E37)))+IF(ISBLANK(D37),B37,D37)))))/3)</f>
        <v>5683.6613648177508</v>
      </c>
      <c r="T37" s="305">
        <f t="shared" si="148"/>
        <v>52301.798602043345</v>
      </c>
      <c r="U37" s="281">
        <f>SUM((IF((U21*U18)*((10*(IF(ISBLANK(E37),C37,E37)))+IF(ISBLANK(D37),B37,D37)) &lt; 0, 0, ((U21*U18)*((10*(IF(ISBLANK(E37),C37,E37)))+IF(ISBLANK(D37),B37,D37))))))</f>
        <v>247284.48229011372</v>
      </c>
      <c r="V37" s="282">
        <f>SUM((IF((V21*V18)*((10*(IF(ISBLANK(E37),C37,E37)))+IF(ISBLANK(D37),B37,D37)) &lt; 0, 0, ((V21*V18)*((10*(IF(ISBLANK(E37),C37,E37)))+IF(ISBLANK(D37),B37,D37))))))</f>
        <v>453221.76311092009</v>
      </c>
      <c r="W37" s="283">
        <f>SUM((IF((W21*W18)*((10*(IF(ISBLANK(E37),C37,E37)))+IF(ISBLANK(D37),B37,D37)) &lt; 0, 0, ((W21*W18)*((10*(IF(ISBLANK(E37),C37,E37)))+IF(ISBLANK(D37),B37,D37))))))</f>
        <v>667698.61869647645</v>
      </c>
      <c r="X37" s="177"/>
      <c r="Y37" s="505">
        <v>0</v>
      </c>
      <c r="Z37" s="70">
        <f t="shared" si="149"/>
        <v>0</v>
      </c>
      <c r="AA37" s="70">
        <f t="shared" si="150"/>
        <v>0</v>
      </c>
      <c r="AB37" s="70">
        <f t="shared" si="151"/>
        <v>0</v>
      </c>
      <c r="AC37" s="282">
        <f>SUM(Z37:AB37)</f>
        <v>0</v>
      </c>
      <c r="AD37" s="74"/>
      <c r="AE37" s="70">
        <f t="shared" si="152"/>
        <v>0</v>
      </c>
      <c r="AF37" s="70">
        <f t="shared" si="153"/>
        <v>0</v>
      </c>
      <c r="AG37" s="70">
        <f t="shared" si="154"/>
        <v>0</v>
      </c>
      <c r="AH37" s="282">
        <f>SUM(AE37:AG37)</f>
        <v>0</v>
      </c>
      <c r="AI37" s="74"/>
      <c r="AJ37" s="70">
        <f t="shared" si="155"/>
        <v>444.71566288157754</v>
      </c>
      <c r="AK37" s="70">
        <f t="shared" si="156"/>
        <v>444.71566288157754</v>
      </c>
      <c r="AL37" s="70">
        <f t="shared" si="157"/>
        <v>444.71566288157754</v>
      </c>
      <c r="AM37" s="282">
        <f>SUM(AJ37:AL37)</f>
        <v>1334.1469886447326</v>
      </c>
      <c r="AN37" s="74"/>
      <c r="AO37" s="70">
        <f t="shared" si="158"/>
        <v>762.65786574669971</v>
      </c>
      <c r="AP37" s="70">
        <f t="shared" si="159"/>
        <v>762.65786574669971</v>
      </c>
      <c r="AQ37" s="70">
        <f t="shared" si="160"/>
        <v>762.65786574669971</v>
      </c>
      <c r="AR37" s="282">
        <f>SUM(AO37:AQ37)</f>
        <v>2287.973597240099</v>
      </c>
      <c r="AS37" s="74"/>
      <c r="AT37" s="70">
        <f t="shared" si="161"/>
        <v>1136.9671351419056</v>
      </c>
      <c r="AU37" s="70">
        <f t="shared" si="162"/>
        <v>1136.9671351419056</v>
      </c>
      <c r="AV37" s="70">
        <f t="shared" si="163"/>
        <v>1136.9671351419056</v>
      </c>
      <c r="AW37" s="282">
        <f>SUM(AT37:AV37)</f>
        <v>3410.9014054257168</v>
      </c>
      <c r="AX37" s="74"/>
      <c r="AY37" s="70">
        <f t="shared" si="164"/>
        <v>1563.6482003431754</v>
      </c>
      <c r="AZ37" s="70">
        <f>L37</f>
        <v>1563.6482003431754</v>
      </c>
      <c r="BA37" s="70">
        <f t="shared" si="166"/>
        <v>1563.6482003431754</v>
      </c>
      <c r="BB37" s="282">
        <f>SUM(AY37:BA37)</f>
        <v>4690.944601029526</v>
      </c>
      <c r="BC37" s="74"/>
      <c r="BD37" s="70">
        <f t="shared" si="167"/>
        <v>2033.6758893364365</v>
      </c>
      <c r="BE37" s="70">
        <f t="shared" si="168"/>
        <v>2033.6758893364365</v>
      </c>
      <c r="BF37" s="70">
        <f t="shared" si="169"/>
        <v>2033.6758893364365</v>
      </c>
      <c r="BG37" s="282">
        <f>SUM(BD37:BF37)</f>
        <v>6101.0276680093093</v>
      </c>
      <c r="BH37" s="74"/>
      <c r="BI37" s="70">
        <f t="shared" si="170"/>
        <v>2556.5870925576482</v>
      </c>
      <c r="BJ37" s="70">
        <f t="shared" si="171"/>
        <v>2556.5870925576482</v>
      </c>
      <c r="BK37" s="70">
        <f t="shared" si="172"/>
        <v>2556.5870925576482</v>
      </c>
      <c r="BL37" s="282">
        <f>SUM(BI37:BK37)</f>
        <v>7669.7612776729447</v>
      </c>
      <c r="BM37" s="74"/>
      <c r="BN37" s="70">
        <f t="shared" si="173"/>
        <v>3163.313409600712</v>
      </c>
      <c r="BO37" s="70">
        <f t="shared" si="174"/>
        <v>3163.313409600712</v>
      </c>
      <c r="BP37" s="70">
        <f t="shared" si="175"/>
        <v>3163.313409600712</v>
      </c>
      <c r="BQ37" s="282">
        <f>SUM(BN37:BP37)</f>
        <v>9489.9402288021356</v>
      </c>
      <c r="BR37" s="74"/>
      <c r="BS37" s="70">
        <f t="shared" si="176"/>
        <v>3876.349919606469</v>
      </c>
      <c r="BT37" s="70">
        <f t="shared" si="177"/>
        <v>3876.349919606469</v>
      </c>
      <c r="BU37" s="70">
        <f t="shared" si="178"/>
        <v>3876.349919606469</v>
      </c>
      <c r="BV37" s="282">
        <f>SUM(BS37:BU37)</f>
        <v>11629.049758819407</v>
      </c>
      <c r="BW37" s="74"/>
      <c r="BX37" s="70">
        <f t="shared" si="179"/>
        <v>4710.6081733228502</v>
      </c>
      <c r="BY37" s="70">
        <f t="shared" si="180"/>
        <v>4710.6081733228502</v>
      </c>
      <c r="BZ37" s="70">
        <f t="shared" si="181"/>
        <v>4710.6081733228502</v>
      </c>
      <c r="CA37" s="282">
        <f>SUM(BX37:BZ37)</f>
        <v>14131.824519968552</v>
      </c>
      <c r="CB37" s="74"/>
      <c r="CC37" s="70">
        <f t="shared" si="182"/>
        <v>5683.6613648177508</v>
      </c>
      <c r="CD37" s="70">
        <f t="shared" si="183"/>
        <v>5683.6613648177508</v>
      </c>
      <c r="CE37" s="70">
        <f t="shared" si="184"/>
        <v>5683.6613648177508</v>
      </c>
      <c r="CF37" s="282">
        <f>SUM(CC37:CE37)</f>
        <v>17050.984094453252</v>
      </c>
      <c r="CG37" s="88"/>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1" t="s">
        <v>206</v>
      </c>
      <c r="B38" s="281">
        <v>2000</v>
      </c>
      <c r="C38" s="305">
        <v>5000</v>
      </c>
      <c r="D38" s="116"/>
      <c r="E38" s="119"/>
      <c r="F38" s="104">
        <f>SUM((IF(ISBLANK(D38),B38,D38)))</f>
        <v>2000</v>
      </c>
      <c r="G38" s="70">
        <f>SUM((IF(ISBLANK(D38),B38,D38)))</f>
        <v>2000</v>
      </c>
      <c r="H38" s="70">
        <f>SUM((IF(ISBLANK(D38),B38,D38)))</f>
        <v>2000</v>
      </c>
      <c r="I38" s="70">
        <f>SUM((IF(ISBLANK(D38),B38,D38)))</f>
        <v>2000</v>
      </c>
      <c r="J38" s="282">
        <f t="shared" si="146"/>
        <v>24000</v>
      </c>
      <c r="K38" s="70">
        <f>SUM((IF(ISBLANK(D38),B38,D38))+(IF(ISBLANK(E38),C38,E38)))</f>
        <v>7000</v>
      </c>
      <c r="L38" s="70">
        <f>SUM((IF(ISBLANK(D38),B38,D38))+(IF(ISBLANK(E38),C38,E38)))</f>
        <v>7000</v>
      </c>
      <c r="M38" s="70">
        <f>SUM((IF(ISBLANK(D38),B38,D38))+(IF(ISBLANK(E38),C38,E38)))</f>
        <v>7000</v>
      </c>
      <c r="N38" s="70">
        <f>SUM((IF(ISBLANK(D38),B38,D38))+(IF(ISBLANK(E38),C38,E38)))</f>
        <v>7000</v>
      </c>
      <c r="O38" s="282">
        <f t="shared" si="147"/>
        <v>84000</v>
      </c>
      <c r="P38" s="70">
        <f>SUM((IF(ISBLANK(D38),B38,D38))+(IF(ISBLANK(E38),C38,E38)))</f>
        <v>7000</v>
      </c>
      <c r="Q38" s="70">
        <f>SUM((IF(ISBLANK(D38),B38,D38))+(IF(ISBLANK(E38),C38,E38)))</f>
        <v>7000</v>
      </c>
      <c r="R38" s="70">
        <f>SUM((IF(ISBLANK(D38),B38,D38))+(IF(ISBLANK(E38),C38,E38)))</f>
        <v>7000</v>
      </c>
      <c r="S38" s="70">
        <f>SUM((IF(ISBLANK(D38),B38,D38))+(IF(ISBLANK(E38),C38,E38)))</f>
        <v>7000</v>
      </c>
      <c r="T38" s="305">
        <f t="shared" si="148"/>
        <v>84000</v>
      </c>
      <c r="U38" s="281">
        <f>SUM(S38*12)</f>
        <v>84000</v>
      </c>
      <c r="V38" s="282">
        <f>SUM(S38*12)</f>
        <v>84000</v>
      </c>
      <c r="W38" s="283">
        <f>SUM(S38*12)</f>
        <v>84000</v>
      </c>
      <c r="X38" s="177"/>
      <c r="Y38" s="505">
        <v>45000</v>
      </c>
      <c r="Z38" s="70">
        <f t="shared" si="149"/>
        <v>2000</v>
      </c>
      <c r="AA38" s="70">
        <f t="shared" si="150"/>
        <v>2000</v>
      </c>
      <c r="AB38" s="70">
        <f t="shared" si="151"/>
        <v>2000</v>
      </c>
      <c r="AC38" s="282">
        <f t="shared" si="134"/>
        <v>6000</v>
      </c>
      <c r="AD38" s="74"/>
      <c r="AE38" s="70">
        <f t="shared" si="152"/>
        <v>2000</v>
      </c>
      <c r="AF38" s="70">
        <f t="shared" si="153"/>
        <v>2000</v>
      </c>
      <c r="AG38" s="70">
        <f t="shared" si="154"/>
        <v>2000</v>
      </c>
      <c r="AH38" s="282">
        <f t="shared" si="135"/>
        <v>6000</v>
      </c>
      <c r="AI38" s="74"/>
      <c r="AJ38" s="70">
        <f t="shared" si="155"/>
        <v>2000</v>
      </c>
      <c r="AK38" s="70">
        <f t="shared" si="156"/>
        <v>2000</v>
      </c>
      <c r="AL38" s="70">
        <f t="shared" si="157"/>
        <v>2000</v>
      </c>
      <c r="AM38" s="282">
        <f t="shared" si="136"/>
        <v>6000</v>
      </c>
      <c r="AN38" s="74"/>
      <c r="AO38" s="70">
        <f t="shared" si="158"/>
        <v>2000</v>
      </c>
      <c r="AP38" s="70">
        <f t="shared" si="159"/>
        <v>2000</v>
      </c>
      <c r="AQ38" s="70">
        <f t="shared" si="160"/>
        <v>2000</v>
      </c>
      <c r="AR38" s="282">
        <f t="shared" si="137"/>
        <v>6000</v>
      </c>
      <c r="AS38" s="74"/>
      <c r="AT38" s="70">
        <f t="shared" si="161"/>
        <v>7000</v>
      </c>
      <c r="AU38" s="70">
        <f t="shared" si="162"/>
        <v>7000</v>
      </c>
      <c r="AV38" s="70">
        <f t="shared" si="163"/>
        <v>7000</v>
      </c>
      <c r="AW38" s="282">
        <f t="shared" si="138"/>
        <v>21000</v>
      </c>
      <c r="AX38" s="74"/>
      <c r="AY38" s="70">
        <f t="shared" si="164"/>
        <v>7000</v>
      </c>
      <c r="AZ38" s="70">
        <f t="shared" si="165"/>
        <v>7000</v>
      </c>
      <c r="BA38" s="70">
        <f t="shared" si="166"/>
        <v>7000</v>
      </c>
      <c r="BB38" s="282">
        <f t="shared" si="139"/>
        <v>21000</v>
      </c>
      <c r="BC38" s="74"/>
      <c r="BD38" s="70">
        <f t="shared" si="167"/>
        <v>7000</v>
      </c>
      <c r="BE38" s="70">
        <f t="shared" si="168"/>
        <v>7000</v>
      </c>
      <c r="BF38" s="70">
        <f t="shared" si="169"/>
        <v>7000</v>
      </c>
      <c r="BG38" s="282">
        <f t="shared" si="140"/>
        <v>21000</v>
      </c>
      <c r="BH38" s="74"/>
      <c r="BI38" s="70">
        <f t="shared" si="170"/>
        <v>7000</v>
      </c>
      <c r="BJ38" s="70">
        <f t="shared" si="171"/>
        <v>7000</v>
      </c>
      <c r="BK38" s="70">
        <f t="shared" si="172"/>
        <v>7000</v>
      </c>
      <c r="BL38" s="282">
        <f t="shared" si="141"/>
        <v>21000</v>
      </c>
      <c r="BM38" s="74"/>
      <c r="BN38" s="70">
        <f t="shared" si="173"/>
        <v>7000</v>
      </c>
      <c r="BO38" s="70">
        <f t="shared" si="174"/>
        <v>7000</v>
      </c>
      <c r="BP38" s="70">
        <f t="shared" si="175"/>
        <v>7000</v>
      </c>
      <c r="BQ38" s="282">
        <f t="shared" si="142"/>
        <v>21000</v>
      </c>
      <c r="BR38" s="74"/>
      <c r="BS38" s="70">
        <f t="shared" si="176"/>
        <v>7000</v>
      </c>
      <c r="BT38" s="70">
        <f t="shared" si="177"/>
        <v>7000</v>
      </c>
      <c r="BU38" s="70">
        <f t="shared" si="178"/>
        <v>7000</v>
      </c>
      <c r="BV38" s="282">
        <f t="shared" si="143"/>
        <v>21000</v>
      </c>
      <c r="BW38" s="74"/>
      <c r="BX38" s="70">
        <f t="shared" si="179"/>
        <v>7000</v>
      </c>
      <c r="BY38" s="70">
        <f t="shared" si="180"/>
        <v>7000</v>
      </c>
      <c r="BZ38" s="70">
        <f t="shared" si="181"/>
        <v>7000</v>
      </c>
      <c r="CA38" s="282">
        <f t="shared" si="144"/>
        <v>21000</v>
      </c>
      <c r="CB38" s="74"/>
      <c r="CC38" s="70">
        <f t="shared" si="182"/>
        <v>7000</v>
      </c>
      <c r="CD38" s="70">
        <f t="shared" si="183"/>
        <v>7000</v>
      </c>
      <c r="CE38" s="70">
        <f t="shared" si="184"/>
        <v>7000</v>
      </c>
      <c r="CF38" s="282">
        <f t="shared" si="145"/>
        <v>21000</v>
      </c>
      <c r="CG38" s="88"/>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1" t="s">
        <v>271</v>
      </c>
      <c r="B39" s="260">
        <v>0.2</v>
      </c>
      <c r="C39" s="293">
        <v>0</v>
      </c>
      <c r="D39" s="118"/>
      <c r="E39" s="117"/>
      <c r="F39" s="130">
        <v>0</v>
      </c>
      <c r="G39" s="70">
        <f>IF(IF(F30&gt;0,F30*((0*(IF(ISBLANK(E39),C39,E39)))+(IF(ISBLANK(D39),B39,D39))),0)&lt;0,0,IF(F30&gt;0,F30*((0*(IF(ISBLANK(E39),C39,E39)))+(IF(ISBLANK(D39),B39,D39))),0))/3</f>
        <v>0</v>
      </c>
      <c r="H39" s="70">
        <f>IF(IF(G30&gt;0,G30*((0*(IF(ISBLANK(E39),C39,E39)))+(IF(ISBLANK(D39),B39,D39))),0)&lt;0,0,IF(G30&gt;0,G30*((0*(IF(ISBLANK(E39),C39,E39)))+(IF(ISBLANK(D39),B39,D39))),0))/3</f>
        <v>0</v>
      </c>
      <c r="I39" s="70">
        <f>IF(IF(H30&gt;0,H30*((1*(IF(ISBLANK(E39),C39,E39)))+(IF(ISBLANK(D39),B39,D39))),0)&lt;0,0,IF(H30&gt;0,H30*((1*(IF(ISBLANK(E39),C39,E39)))+(IF(ISBLANK(D39),B39,D39))),0))/3</f>
        <v>296.47710858771842</v>
      </c>
      <c r="J39" s="282">
        <f t="shared" si="146"/>
        <v>889.4313257631552</v>
      </c>
      <c r="K39" s="70">
        <f>IF(IF(I30&gt;0,I30*((2*(IF(ISBLANK(E39),C39,E39)))+(IF(ISBLANK(D39),B39,D39))),0)&lt;0,0,IF(I30&gt;0,I30*((2*(IF(ISBLANK(E39),C39,E39)))+(IF(ISBLANK(D39),B39,D39))),0))/3</f>
        <v>915.18943889603963</v>
      </c>
      <c r="L39" s="70">
        <f>IF(IF(K30&gt;0,K30*((3*(IF(ISBLANK(E39),C39,E39)))+(IF(ISBLANK(D39),B39,D39))),0)&lt;0,0,IF(K30&gt;0,K30*((3*(IF(ISBLANK(E39),C39,E39)))+(IF(ISBLANK(D39),B39,D39))),0))/3</f>
        <v>1389.6264985067735</v>
      </c>
      <c r="M39" s="70">
        <f>IF(IF(L30&gt;0,L30*((4*(IF(ISBLANK(E39),C39,E39)))+(IF(ISBLANK(D39),B39,D39))),0)&lt;0,0,IF(L30&gt;0,L30*((4*(IF(ISBLANK(E39),C39,E39)))+(IF(ISBLANK(D39),B39,D39))),0))/3</f>
        <v>1935.9453909010745</v>
      </c>
      <c r="N39" s="70">
        <f>IF(IF(M30&gt;0,M30*((5*(IF(ISBLANK(E39),C39,E39)))+(IF(ISBLANK(D39),B39,D39))),0)&lt;0,0,IF(M30&gt;0,M30*((5*(IF(ISBLANK(E39),C39,E39)))+(IF(ISBLANK(D39),B39,D39))),0))/3</f>
        <v>2542.0948616705459</v>
      </c>
      <c r="O39" s="282">
        <f t="shared" si="147"/>
        <v>20348.5685699233</v>
      </c>
      <c r="P39" s="70">
        <f>IF(IF(N30&gt;0,N30*((6*(IF(ISBLANK(E39),C39,E39)))+(IF(ISBLANK(D39),B39,D39))),0)&lt;0,0,IF(N30&gt;0,N30*((6*(IF(ISBLANK(E39),C39,E39)))+(IF(ISBLANK(D39),B39,D39))),0))/3</f>
        <v>3219.4059684059271</v>
      </c>
      <c r="Q39" s="70">
        <f>IF(IF(P30&gt;0,P30*((7*(IF(ISBLANK(E39),C39,E39)))+(IF(ISBLANK(D39),B39,D39))),0)&lt;0,0,IF(P30&gt;0,P30*((7*(IF(ISBLANK(E39),C39,E39)))+(IF(ISBLANK(D39),B39,D39))),0))/3</f>
        <v>4006.8636521609028</v>
      </c>
      <c r="R39" s="70">
        <f>IF(IF(Q30&gt;0,Q30*((8*(IF(ISBLANK(E39),C39,E39)))+(IF(ISBLANK(D39),B39,D39))),0)&lt;0,0,IF(Q30&gt;0,Q30*((8*(IF(ISBLANK(E39),C39,E39)))+(IF(ISBLANK(D39),B39,D39))),0))/3</f>
        <v>4933.5362613173229</v>
      </c>
      <c r="S39" s="70">
        <f>IF(IF(R30&gt;0,R30*((9*(IF(ISBLANK(E39),C39,E39)))+(IF(ISBLANK(D39),B39,D39))),0)&lt;0,0,IF(R30&gt;0,R30*((9*(IF(ISBLANK(E39),C39,E39)))+(IF(ISBLANK(D39),B39,D39))),0))/3</f>
        <v>6019.1104436903106</v>
      </c>
      <c r="T39" s="305">
        <f t="shared" si="148"/>
        <v>54536.748976723393</v>
      </c>
      <c r="U39" s="281">
        <f>SUM((U30*(IF(ISBLANK(D39),B39,D39)+(10*IF(ISBLANK(E39),C39,E39))))+(S30*(IF(ISBLANK(D39),B39,D39)+(10*IF(ISBLANK(E39),C39,E39)))))</f>
        <v>233558.76780991457</v>
      </c>
      <c r="V39" s="282">
        <f>SUM((V30*(IF(ISBLANK(D39),B39,D39)+(11*IF(ISBLANK(E39),C39,E39)))))</f>
        <v>474603.09451589454</v>
      </c>
      <c r="W39" s="283">
        <f>SUM((W30*(IF(ISBLANK(D39),B39,D39)+(12*IF(ISBLANK(E39),C39,E39)))))</f>
        <v>762226.34739634732</v>
      </c>
      <c r="X39" s="177"/>
      <c r="Y39" s="505">
        <v>0</v>
      </c>
      <c r="Z39" s="70">
        <f>F39</f>
        <v>0</v>
      </c>
      <c r="AA39" s="70">
        <f>F39</f>
        <v>0</v>
      </c>
      <c r="AB39" s="70">
        <f>F39</f>
        <v>0</v>
      </c>
      <c r="AC39" s="282">
        <f t="shared" si="134"/>
        <v>0</v>
      </c>
      <c r="AD39" s="74"/>
      <c r="AE39" s="70">
        <f>G39</f>
        <v>0</v>
      </c>
      <c r="AF39" s="70">
        <f>G39</f>
        <v>0</v>
      </c>
      <c r="AG39" s="70">
        <f>G39</f>
        <v>0</v>
      </c>
      <c r="AH39" s="282">
        <f t="shared" si="135"/>
        <v>0</v>
      </c>
      <c r="AI39" s="74"/>
      <c r="AJ39" s="70">
        <f>H39</f>
        <v>0</v>
      </c>
      <c r="AK39" s="70">
        <f>H39</f>
        <v>0</v>
      </c>
      <c r="AL39" s="70">
        <f>H39</f>
        <v>0</v>
      </c>
      <c r="AM39" s="282">
        <f t="shared" si="136"/>
        <v>0</v>
      </c>
      <c r="AN39" s="74"/>
      <c r="AO39" s="70">
        <f>I39</f>
        <v>296.47710858771842</v>
      </c>
      <c r="AP39" s="70">
        <f>I39</f>
        <v>296.47710858771842</v>
      </c>
      <c r="AQ39" s="70">
        <f>I39</f>
        <v>296.47710858771842</v>
      </c>
      <c r="AR39" s="282">
        <f t="shared" si="137"/>
        <v>889.4313257631552</v>
      </c>
      <c r="AS39" s="74"/>
      <c r="AT39" s="70">
        <f>K39</f>
        <v>915.18943889603963</v>
      </c>
      <c r="AU39" s="70">
        <f>K39</f>
        <v>915.18943889603963</v>
      </c>
      <c r="AV39" s="70">
        <f>K39</f>
        <v>915.18943889603963</v>
      </c>
      <c r="AW39" s="282">
        <f t="shared" si="138"/>
        <v>2745.568316688119</v>
      </c>
      <c r="AX39" s="74"/>
      <c r="AY39" s="70">
        <f>L39</f>
        <v>1389.6264985067735</v>
      </c>
      <c r="AZ39" s="70">
        <f>L39</f>
        <v>1389.6264985067735</v>
      </c>
      <c r="BA39" s="70">
        <f>L39</f>
        <v>1389.6264985067735</v>
      </c>
      <c r="BB39" s="282">
        <f t="shared" si="139"/>
        <v>4168.8794955203202</v>
      </c>
      <c r="BC39" s="74"/>
      <c r="BD39" s="70">
        <f>M39</f>
        <v>1935.9453909010745</v>
      </c>
      <c r="BE39" s="70">
        <f>M39</f>
        <v>1935.9453909010745</v>
      </c>
      <c r="BF39" s="70">
        <f>M39</f>
        <v>1935.9453909010745</v>
      </c>
      <c r="BG39" s="282">
        <f t="shared" si="140"/>
        <v>5807.8361727032234</v>
      </c>
      <c r="BH39" s="74"/>
      <c r="BI39" s="70">
        <f>N39</f>
        <v>2542.0948616705459</v>
      </c>
      <c r="BJ39" s="70">
        <f>N39</f>
        <v>2542.0948616705459</v>
      </c>
      <c r="BK39" s="70">
        <f>N39</f>
        <v>2542.0948616705459</v>
      </c>
      <c r="BL39" s="282">
        <f t="shared" si="141"/>
        <v>7626.2845850116373</v>
      </c>
      <c r="BM39" s="74"/>
      <c r="BN39" s="70">
        <f>P39</f>
        <v>3219.4059684059271</v>
      </c>
      <c r="BO39" s="70">
        <f>P39</f>
        <v>3219.4059684059271</v>
      </c>
      <c r="BP39" s="70">
        <f>P39</f>
        <v>3219.4059684059271</v>
      </c>
      <c r="BQ39" s="282">
        <f t="shared" si="142"/>
        <v>9658.2179052177817</v>
      </c>
      <c r="BR39" s="74"/>
      <c r="BS39" s="70">
        <f>Q39</f>
        <v>4006.8636521609028</v>
      </c>
      <c r="BT39" s="70">
        <f>Q39</f>
        <v>4006.8636521609028</v>
      </c>
      <c r="BU39" s="70">
        <f>Q39</f>
        <v>4006.8636521609028</v>
      </c>
      <c r="BV39" s="282">
        <f t="shared" si="143"/>
        <v>12020.590956482709</v>
      </c>
      <c r="BW39" s="74"/>
      <c r="BX39" s="70">
        <f>R39</f>
        <v>4933.5362613173229</v>
      </c>
      <c r="BY39" s="70">
        <f>R39</f>
        <v>4933.5362613173229</v>
      </c>
      <c r="BZ39" s="70">
        <f>R39</f>
        <v>4933.5362613173229</v>
      </c>
      <c r="CA39" s="282">
        <f t="shared" si="144"/>
        <v>14800.608783951968</v>
      </c>
      <c r="CB39" s="74"/>
      <c r="CC39" s="70">
        <f>S39</f>
        <v>6019.1104436903106</v>
      </c>
      <c r="CD39" s="70">
        <f>S39</f>
        <v>6019.1104436903106</v>
      </c>
      <c r="CE39" s="70">
        <f>S39</f>
        <v>6019.1104436903106</v>
      </c>
      <c r="CF39" s="282">
        <f t="shared" si="145"/>
        <v>18057.331331070931</v>
      </c>
      <c r="CG39" s="88"/>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1" t="s">
        <v>272</v>
      </c>
      <c r="B40" s="260">
        <v>0.25</v>
      </c>
      <c r="C40" s="293">
        <v>0</v>
      </c>
      <c r="D40" s="118"/>
      <c r="E40" s="117"/>
      <c r="F40" s="130">
        <v>0</v>
      </c>
      <c r="G40" s="70">
        <f>IF(IF(F49&gt;0,F49*((0*(IF(ISBLANK(E40),C40,E40)))+(IF(ISBLANK(D40),B40,D40))),0)&lt;0,0,IF(F49&gt;0,F49*((0*(IF(ISBLANK(E40),C40,E40)))+(IF(ISBLANK(D40),B40,D40))),0))/3</f>
        <v>0</v>
      </c>
      <c r="H40" s="70">
        <f>IF(IF(G49&gt;0,G49*((0*(IF(ISBLANK(E40),C40,E40)))+(IF(ISBLANK(D40),B40,D40))),0)&lt;0,0,IF(G49&gt;0,G49*((0*(IF(ISBLANK(E40),C40,E40)))+(IF(ISBLANK(D40),B40,D40))),0))/3</f>
        <v>0</v>
      </c>
      <c r="I40" s="70">
        <f>IF(IF(H49&gt;0,H49*((1*(IF(ISBLANK(E40),C40,E40)))+(IF(ISBLANK(D40),B40,D40))),0)&lt;0,0,IF(H49&gt;0,H49*((1*(IF(ISBLANK(E40),C40,E40)))+(IF(ISBLANK(D40),B40,D40))),0))/3</f>
        <v>0</v>
      </c>
      <c r="J40" s="282">
        <f t="shared" si="146"/>
        <v>0</v>
      </c>
      <c r="K40" s="70">
        <f>IF(IF(I49&gt;0,I49*((2*(IF(ISBLANK(E40),C40,E40)))+(IF(ISBLANK(D40),B40,D40))),0)&lt;0,0,IF(I49&gt;0,I49*((2*(IF(ISBLANK(E40),C40,E40)))+(IF(ISBLANK(D40),B40,D40))),0))/3</f>
        <v>0</v>
      </c>
      <c r="L40" s="70">
        <f>IF(IF(K49&gt;0,K49*((3*(IF(ISBLANK(E40),C40,E40)))+(IF(ISBLANK(D40),B40,D40))),0)&lt;0,0,IF(K49&gt;0,K49*((3*(IF(ISBLANK(E40),C40,E40)))+(IF(ISBLANK(D40),B40,D40))),0))/3</f>
        <v>0</v>
      </c>
      <c r="M40" s="70">
        <f>IF(IF(L49&gt;0,L49*((4*(IF(ISBLANK(E40),C40,E40)))+(IF(ISBLANK(D40),B40,D40))),0)&lt;0,0,IF(L49&gt;0,L49*((4*(IF(ISBLANK(E40),C40,E40)))+(IF(ISBLANK(D40),B40,D40))),0))/3</f>
        <v>0</v>
      </c>
      <c r="N40" s="70">
        <f>IF(IF(M49&gt;0,M49*((5*(IF(ISBLANK(E40),C40,E40)))+(IF(ISBLANK(D40),B40,D40))),0)&lt;0,0,IF(M49&gt;0,M49*((5*(IF(ISBLANK(E40),C40,E40)))+(IF(ISBLANK(D40),B40,D40))),0))/3</f>
        <v>0</v>
      </c>
      <c r="O40" s="282">
        <f t="shared" si="147"/>
        <v>0</v>
      </c>
      <c r="P40" s="70">
        <f>IF(IF(N49&gt;0,N49*((6*(IF(ISBLANK(E40),C40,E40)))+(IF(ISBLANK(D40),B40,D40))),0)&lt;0,0,IF(N49&gt;0,N49*((6*(IF(ISBLANK(E40),C40,E40)))+(IF(ISBLANK(D40),B40,D40))),0))/3</f>
        <v>0</v>
      </c>
      <c r="Q40" s="70">
        <f>IF(IF(P49&gt;0,P49*((7*(IF(ISBLANK(E40),C40,E40)))+(IF(ISBLANK(D40),B40,D40))),0)&lt;0,0,IF(P49&gt;0,P49*((7*(IF(ISBLANK(E40),C40,E40)))+(IF(ISBLANK(D40),B40,D40))),0))/3</f>
        <v>0</v>
      </c>
      <c r="R40" s="70">
        <f>IF(IF(Q49&gt;0,Q49*((8*(IF(ISBLANK(E40),C40,E40)))+(IF(ISBLANK(D40),B40,D40))),0)&lt;0,0,IF(Q49&gt;0,Q49*((8*(IF(ISBLANK(E40),C40,E40)))+(IF(ISBLANK(D40),B40,D40))),0))/3</f>
        <v>0</v>
      </c>
      <c r="S40" s="70">
        <f>IF(IF(R49&gt;0,R49*((9*(IF(ISBLANK(E40),C40,E40)))+(IF(ISBLANK(D40),B40,D40))),0)&lt;0,0,IF(R49&gt;0,R49*((9*(IF(ISBLANK(E40),C40,E40)))+(IF(ISBLANK(D40),B40,D40))),0))/3</f>
        <v>0</v>
      </c>
      <c r="T40" s="305">
        <f t="shared" si="148"/>
        <v>0</v>
      </c>
      <c r="U40" s="281">
        <f>SUM(IF(S49&lt;0,0,S49*((10*(IF(ISBLANK(E40),C40,E40)))+(IF(ISBLANK(D40),B40,D40)))))</f>
        <v>0</v>
      </c>
      <c r="V40" s="282">
        <f>SUM(IF(U49&lt;0,0,U49*((11*(IF(ISBLANK(E40),C40,E40)))+(IF(ISBLANK(D40),B40,D40)))))</f>
        <v>55912.996855444828</v>
      </c>
      <c r="W40" s="283">
        <f>SUM(IF(V49&lt;0,0,V49*((12*(IF(ISBLANK(E40),C40,E40)))+(IF(ISBLANK(D40),B40,D40)))))</f>
        <v>257124.30390556884</v>
      </c>
      <c r="X40" s="177"/>
      <c r="Y40" s="505">
        <v>0</v>
      </c>
      <c r="Z40" s="70">
        <f>F40</f>
        <v>0</v>
      </c>
      <c r="AA40" s="70">
        <f>F40</f>
        <v>0</v>
      </c>
      <c r="AB40" s="70">
        <f>F40</f>
        <v>0</v>
      </c>
      <c r="AC40" s="282">
        <f t="shared" si="134"/>
        <v>0</v>
      </c>
      <c r="AD40" s="74"/>
      <c r="AE40" s="70">
        <f>G40</f>
        <v>0</v>
      </c>
      <c r="AF40" s="70">
        <f>G40</f>
        <v>0</v>
      </c>
      <c r="AG40" s="70">
        <f>G40</f>
        <v>0</v>
      </c>
      <c r="AH40" s="282">
        <f t="shared" si="135"/>
        <v>0</v>
      </c>
      <c r="AI40" s="74"/>
      <c r="AJ40" s="70">
        <f>H40</f>
        <v>0</v>
      </c>
      <c r="AK40" s="70">
        <f>H40</f>
        <v>0</v>
      </c>
      <c r="AL40" s="70">
        <f>H40</f>
        <v>0</v>
      </c>
      <c r="AM40" s="282">
        <f t="shared" si="136"/>
        <v>0</v>
      </c>
      <c r="AN40" s="74"/>
      <c r="AO40" s="70">
        <f>I40</f>
        <v>0</v>
      </c>
      <c r="AP40" s="70">
        <f>I40</f>
        <v>0</v>
      </c>
      <c r="AQ40" s="70">
        <f>I40</f>
        <v>0</v>
      </c>
      <c r="AR40" s="282">
        <f t="shared" si="137"/>
        <v>0</v>
      </c>
      <c r="AS40" s="74"/>
      <c r="AT40" s="70">
        <f>K40</f>
        <v>0</v>
      </c>
      <c r="AU40" s="70">
        <f>K40</f>
        <v>0</v>
      </c>
      <c r="AV40" s="70">
        <f>K40</f>
        <v>0</v>
      </c>
      <c r="AW40" s="282">
        <f t="shared" si="138"/>
        <v>0</v>
      </c>
      <c r="AX40" s="74"/>
      <c r="AY40" s="70">
        <f>L40</f>
        <v>0</v>
      </c>
      <c r="AZ40" s="70">
        <f>L40</f>
        <v>0</v>
      </c>
      <c r="BA40" s="70">
        <f>L40</f>
        <v>0</v>
      </c>
      <c r="BB40" s="282">
        <f t="shared" si="139"/>
        <v>0</v>
      </c>
      <c r="BC40" s="74"/>
      <c r="BD40" s="70">
        <f>M40</f>
        <v>0</v>
      </c>
      <c r="BE40" s="70">
        <f>M40</f>
        <v>0</v>
      </c>
      <c r="BF40" s="70">
        <f>M40</f>
        <v>0</v>
      </c>
      <c r="BG40" s="282">
        <f t="shared" si="140"/>
        <v>0</v>
      </c>
      <c r="BH40" s="74"/>
      <c r="BI40" s="70">
        <f>N40</f>
        <v>0</v>
      </c>
      <c r="BJ40" s="70">
        <f>N40</f>
        <v>0</v>
      </c>
      <c r="BK40" s="70">
        <f>N40</f>
        <v>0</v>
      </c>
      <c r="BL40" s="282">
        <f t="shared" si="141"/>
        <v>0</v>
      </c>
      <c r="BM40" s="74"/>
      <c r="BN40" s="70">
        <f>P40</f>
        <v>0</v>
      </c>
      <c r="BO40" s="70">
        <f>P40</f>
        <v>0</v>
      </c>
      <c r="BP40" s="70">
        <f>P40</f>
        <v>0</v>
      </c>
      <c r="BQ40" s="282">
        <f t="shared" si="142"/>
        <v>0</v>
      </c>
      <c r="BR40" s="74"/>
      <c r="BS40" s="70">
        <f>Q40</f>
        <v>0</v>
      </c>
      <c r="BT40" s="70">
        <f>Q40</f>
        <v>0</v>
      </c>
      <c r="BU40" s="70">
        <f>Q40</f>
        <v>0</v>
      </c>
      <c r="BV40" s="282">
        <f t="shared" si="143"/>
        <v>0</v>
      </c>
      <c r="BW40" s="74"/>
      <c r="BX40" s="70">
        <f>R40</f>
        <v>0</v>
      </c>
      <c r="BY40" s="70">
        <f>R40</f>
        <v>0</v>
      </c>
      <c r="BZ40" s="70">
        <f>R40</f>
        <v>0</v>
      </c>
      <c r="CA40" s="282">
        <f t="shared" si="144"/>
        <v>0</v>
      </c>
      <c r="CB40" s="74"/>
      <c r="CC40" s="70">
        <f>S40</f>
        <v>0</v>
      </c>
      <c r="CD40" s="70">
        <f>S40</f>
        <v>0</v>
      </c>
      <c r="CE40" s="70">
        <f>S40</f>
        <v>0</v>
      </c>
      <c r="CF40" s="282">
        <f t="shared" si="145"/>
        <v>0</v>
      </c>
      <c r="CG40" s="88"/>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1" t="s">
        <v>273</v>
      </c>
      <c r="B41" s="363">
        <v>500</v>
      </c>
      <c r="C41" s="481">
        <v>0</v>
      </c>
      <c r="D41" s="116"/>
      <c r="E41" s="119"/>
      <c r="F41" s="104">
        <v>1000</v>
      </c>
      <c r="G41" s="70">
        <v>1000</v>
      </c>
      <c r="H41" s="362">
        <v>500</v>
      </c>
      <c r="I41" s="70">
        <f>SUM((IF(H49&gt;0,IF(ISBLANK(E41),C41,E41),0)+H41))</f>
        <v>500</v>
      </c>
      <c r="J41" s="282">
        <f t="shared" si="146"/>
        <v>9000</v>
      </c>
      <c r="K41" s="70">
        <f>SUM((IF(I49&gt;0,IF(ISBLANK(E41),C41,E41),0)+I41))</f>
        <v>500</v>
      </c>
      <c r="L41" s="70">
        <f>SUM((IF(K49&gt;0,IF(ISBLANK(E41),C41,E41),0)+K41))</f>
        <v>500</v>
      </c>
      <c r="M41" s="70">
        <f>SUM((IF(L49&gt;0,IF(ISBLANK(E41),C41,E41),0)+L41))</f>
        <v>500</v>
      </c>
      <c r="N41" s="70">
        <f>SUM((IF(M49&gt;0,IF(ISBLANK(E41),C41,E41),0)+M41))</f>
        <v>500</v>
      </c>
      <c r="O41" s="282">
        <f t="shared" si="147"/>
        <v>6000</v>
      </c>
      <c r="P41" s="70">
        <f>SUM((IF(N49&gt;0,IF(ISBLANK(E41),C41,E41),0)+N41))</f>
        <v>500</v>
      </c>
      <c r="Q41" s="70">
        <f>SUM((IF(P49&gt;0,IF(ISBLANK(E41),C41,E41),0)+P41))</f>
        <v>500</v>
      </c>
      <c r="R41" s="70">
        <f>SUM((IF(Q49&gt;0,IF(ISBLANK(E41),C41,E41),0)+Q41))</f>
        <v>500</v>
      </c>
      <c r="S41" s="70">
        <f>SUM((IF(R49&gt;0,IF(ISBLANK(E41),C41,E41),0)+R41))</f>
        <v>500</v>
      </c>
      <c r="T41" s="305">
        <f t="shared" si="148"/>
        <v>6000</v>
      </c>
      <c r="U41" s="281">
        <f>SUM((IF(S49&gt;0,IF(ISBLANK(E41),C41,E41),0)+S41))</f>
        <v>500</v>
      </c>
      <c r="V41" s="282">
        <f>SUM((IF(U49&gt;0,IF(ISBLANK(E41),C41,E41),0)+U41))</f>
        <v>500</v>
      </c>
      <c r="W41" s="283">
        <f>SUM((IF(V49&gt;0,IF(ISBLANK(E41),C41,E41),0)+V41))</f>
        <v>500</v>
      </c>
      <c r="X41" s="177"/>
      <c r="Y41" s="505">
        <v>55000</v>
      </c>
      <c r="Z41" s="70">
        <f t="shared" si="149"/>
        <v>1000</v>
      </c>
      <c r="AA41" s="70">
        <f t="shared" si="150"/>
        <v>1000</v>
      </c>
      <c r="AB41" s="70">
        <f t="shared" si="151"/>
        <v>1000</v>
      </c>
      <c r="AC41" s="282">
        <f t="shared" si="134"/>
        <v>3000</v>
      </c>
      <c r="AD41" s="74"/>
      <c r="AE41" s="70">
        <f t="shared" si="152"/>
        <v>1000</v>
      </c>
      <c r="AF41" s="70">
        <f>G41</f>
        <v>1000</v>
      </c>
      <c r="AG41" s="70">
        <f>G41</f>
        <v>1000</v>
      </c>
      <c r="AH41" s="282">
        <f t="shared" si="135"/>
        <v>3000</v>
      </c>
      <c r="AI41" s="74"/>
      <c r="AJ41" s="70">
        <f>H41</f>
        <v>500</v>
      </c>
      <c r="AK41" s="70">
        <f>H41</f>
        <v>500</v>
      </c>
      <c r="AL41" s="70">
        <f>H41</f>
        <v>500</v>
      </c>
      <c r="AM41" s="282">
        <f t="shared" si="136"/>
        <v>1500</v>
      </c>
      <c r="AN41" s="74"/>
      <c r="AO41" s="70">
        <f t="shared" si="158"/>
        <v>500</v>
      </c>
      <c r="AP41" s="70">
        <f t="shared" si="159"/>
        <v>500</v>
      </c>
      <c r="AQ41" s="70">
        <f t="shared" si="160"/>
        <v>500</v>
      </c>
      <c r="AR41" s="282">
        <f t="shared" si="137"/>
        <v>1500</v>
      </c>
      <c r="AS41" s="74"/>
      <c r="AT41" s="70">
        <f t="shared" si="161"/>
        <v>500</v>
      </c>
      <c r="AU41" s="70">
        <f t="shared" si="162"/>
        <v>500</v>
      </c>
      <c r="AV41" s="70">
        <f t="shared" si="163"/>
        <v>500</v>
      </c>
      <c r="AW41" s="282">
        <f t="shared" si="138"/>
        <v>1500</v>
      </c>
      <c r="AX41" s="74"/>
      <c r="AY41" s="70">
        <f t="shared" si="164"/>
        <v>500</v>
      </c>
      <c r="AZ41" s="70">
        <f t="shared" si="165"/>
        <v>500</v>
      </c>
      <c r="BA41" s="70">
        <f t="shared" si="166"/>
        <v>500</v>
      </c>
      <c r="BB41" s="282">
        <f t="shared" si="139"/>
        <v>1500</v>
      </c>
      <c r="BC41" s="74"/>
      <c r="BD41" s="70">
        <f t="shared" si="167"/>
        <v>500</v>
      </c>
      <c r="BE41" s="70">
        <f t="shared" si="168"/>
        <v>500</v>
      </c>
      <c r="BF41" s="70">
        <f t="shared" si="169"/>
        <v>500</v>
      </c>
      <c r="BG41" s="282">
        <f t="shared" si="140"/>
        <v>1500</v>
      </c>
      <c r="BH41" s="74"/>
      <c r="BI41" s="70">
        <f>N41</f>
        <v>500</v>
      </c>
      <c r="BJ41" s="70">
        <f t="shared" si="171"/>
        <v>500</v>
      </c>
      <c r="BK41" s="70">
        <f t="shared" si="172"/>
        <v>500</v>
      </c>
      <c r="BL41" s="282">
        <f t="shared" si="141"/>
        <v>1500</v>
      </c>
      <c r="BM41" s="74"/>
      <c r="BN41" s="70">
        <f t="shared" si="173"/>
        <v>500</v>
      </c>
      <c r="BO41" s="70">
        <f t="shared" si="174"/>
        <v>500</v>
      </c>
      <c r="BP41" s="70">
        <f t="shared" si="175"/>
        <v>500</v>
      </c>
      <c r="BQ41" s="282">
        <f t="shared" si="142"/>
        <v>1500</v>
      </c>
      <c r="BR41" s="74"/>
      <c r="BS41" s="70">
        <f t="shared" si="176"/>
        <v>500</v>
      </c>
      <c r="BT41" s="70">
        <f t="shared" si="177"/>
        <v>500</v>
      </c>
      <c r="BU41" s="70">
        <f t="shared" si="178"/>
        <v>500</v>
      </c>
      <c r="BV41" s="282">
        <f t="shared" si="143"/>
        <v>1500</v>
      </c>
      <c r="BW41" s="74"/>
      <c r="BX41" s="70">
        <f t="shared" si="179"/>
        <v>500</v>
      </c>
      <c r="BY41" s="70">
        <f t="shared" si="180"/>
        <v>500</v>
      </c>
      <c r="BZ41" s="70">
        <f t="shared" si="181"/>
        <v>500</v>
      </c>
      <c r="CA41" s="282">
        <f t="shared" si="144"/>
        <v>1500</v>
      </c>
      <c r="CB41" s="74"/>
      <c r="CC41" s="70">
        <f t="shared" si="182"/>
        <v>500</v>
      </c>
      <c r="CD41" s="70">
        <f t="shared" si="183"/>
        <v>500</v>
      </c>
      <c r="CE41" s="70">
        <f t="shared" si="184"/>
        <v>500</v>
      </c>
      <c r="CF41" s="282">
        <f t="shared" si="145"/>
        <v>1500</v>
      </c>
      <c r="CG41" s="88"/>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1" t="s">
        <v>274</v>
      </c>
      <c r="B42" s="363">
        <v>400</v>
      </c>
      <c r="C42" s="304">
        <v>0.01</v>
      </c>
      <c r="D42" s="116"/>
      <c r="E42" s="120"/>
      <c r="F42" s="104">
        <v>1021</v>
      </c>
      <c r="G42" s="70">
        <v>1050</v>
      </c>
      <c r="H42" s="362">
        <f>SUM((IF(ISBLANK(D42),B42,D42))+(IF(ISBLANK(E42),C42,E42)*H18))</f>
        <v>484.83700638609537</v>
      </c>
      <c r="I42" s="70">
        <f>SUM((IF(ISBLANK(D42),B42,D42))+(IF(ISBLANK(E42),C42,E42)*I18))</f>
        <v>508.65521167239922</v>
      </c>
      <c r="J42" s="282">
        <f t="shared" si="146"/>
        <v>9193.4766541754834</v>
      </c>
      <c r="K42" s="70">
        <f>SUM((IF(ISBLANK(D42),B42,D42))+(IF(ISBLANK(E42),C42,E42)*K18))</f>
        <v>533.67396546158147</v>
      </c>
      <c r="L42" s="70">
        <f>SUM((IF(ISBLANK(D42),B42,D42))+(IF(ISBLANK(E42),C42,E42)*L18))</f>
        <v>555.27701315460172</v>
      </c>
      <c r="M42" s="70">
        <f>SUM((IF(ISBLANK(D42),B42,D42))+(IF(ISBLANK(E42),C42,E42)*M18))</f>
        <v>575.41582885207936</v>
      </c>
      <c r="N42" s="70">
        <f>SUM((IF(ISBLANK(D42),B42,D42))+(IF(ISBLANK(E42),C42,E42)*N18))</f>
        <v>595.24335023017341</v>
      </c>
      <c r="O42" s="282">
        <f t="shared" si="147"/>
        <v>6778.8304730953078</v>
      </c>
      <c r="P42" s="70">
        <f>SUM((IF(ISBLANK(D42),B42,D42))+(IF(ISBLANK(E42),C42,E42)*P18))</f>
        <v>617.51840816517108</v>
      </c>
      <c r="Q42" s="70">
        <f>SUM((IF(ISBLANK(D42),B42,D42))+(IF(ISBLANK(E42),C42,E42)*Q18))</f>
        <v>642.37375087590408</v>
      </c>
      <c r="R42" s="70">
        <f>SUM((IF(ISBLANK(D42),B42,D42))+(IF(ISBLANK(E42),C42,E42)*R18))</f>
        <v>670.03272753055012</v>
      </c>
      <c r="S42" s="70">
        <f>SUM((IF(ISBLANK(D42),B42,D42))+(IF(ISBLANK(E42),C42,E42)*S18))</f>
        <v>700.78977575977206</v>
      </c>
      <c r="T42" s="305">
        <f t="shared" si="148"/>
        <v>7892.1439869941923</v>
      </c>
      <c r="U42" s="281">
        <f>SUM((IF(ISBLANK(D42),B42,D42))+(IF(ISBLANK(E42),C42,E42)*U18))*12</f>
        <v>15790.421435116168</v>
      </c>
      <c r="V42" s="282">
        <f>SUM((IF(ISBLANK(D42),B42,D42))+(IF(ISBLANK(E42),C42,E42)*V18))*12</f>
        <v>22573.402474938041</v>
      </c>
      <c r="W42" s="283">
        <f>SUM((IF(ISBLANK(D42),B42,D42))+(IF(ISBLANK(E42),C42,E42)*W18))*12</f>
        <v>28228.021708648299</v>
      </c>
      <c r="X42" s="177"/>
      <c r="Y42" s="505">
        <f>SUM(10105+7000)</f>
        <v>17105</v>
      </c>
      <c r="Z42" s="70">
        <f t="shared" si="149"/>
        <v>1021</v>
      </c>
      <c r="AA42" s="70">
        <f t="shared" si="150"/>
        <v>1021</v>
      </c>
      <c r="AB42" s="70">
        <f t="shared" si="151"/>
        <v>1021</v>
      </c>
      <c r="AC42" s="282">
        <f t="shared" si="134"/>
        <v>3063</v>
      </c>
      <c r="AD42" s="74"/>
      <c r="AE42" s="70">
        <f t="shared" si="152"/>
        <v>1050</v>
      </c>
      <c r="AF42" s="70">
        <f t="shared" si="153"/>
        <v>1050</v>
      </c>
      <c r="AG42" s="70">
        <f t="shared" si="154"/>
        <v>1050</v>
      </c>
      <c r="AH42" s="282">
        <f t="shared" si="135"/>
        <v>3150</v>
      </c>
      <c r="AI42" s="74"/>
      <c r="AJ42" s="70">
        <f t="shared" si="155"/>
        <v>484.83700638609537</v>
      </c>
      <c r="AK42" s="70">
        <f t="shared" si="156"/>
        <v>484.83700638609537</v>
      </c>
      <c r="AL42" s="70">
        <f t="shared" si="157"/>
        <v>484.83700638609537</v>
      </c>
      <c r="AM42" s="282">
        <f t="shared" si="136"/>
        <v>1454.5110191582862</v>
      </c>
      <c r="AN42" s="74"/>
      <c r="AO42" s="70">
        <f t="shared" si="158"/>
        <v>508.65521167239922</v>
      </c>
      <c r="AP42" s="70">
        <f t="shared" si="159"/>
        <v>508.65521167239922</v>
      </c>
      <c r="AQ42" s="70">
        <f t="shared" si="160"/>
        <v>508.65521167239922</v>
      </c>
      <c r="AR42" s="282">
        <f t="shared" si="137"/>
        <v>1525.9656350171977</v>
      </c>
      <c r="AS42" s="74"/>
      <c r="AT42" s="70">
        <f t="shared" si="161"/>
        <v>533.67396546158147</v>
      </c>
      <c r="AU42" s="70">
        <f t="shared" si="162"/>
        <v>533.67396546158147</v>
      </c>
      <c r="AV42" s="70">
        <f t="shared" si="163"/>
        <v>533.67396546158147</v>
      </c>
      <c r="AW42" s="282">
        <f t="shared" si="138"/>
        <v>1601.0218963847444</v>
      </c>
      <c r="AX42" s="74"/>
      <c r="AY42" s="70">
        <f t="shared" si="164"/>
        <v>555.27701315460172</v>
      </c>
      <c r="AZ42" s="70">
        <f t="shared" si="165"/>
        <v>555.27701315460172</v>
      </c>
      <c r="BA42" s="70">
        <f t="shared" si="166"/>
        <v>555.27701315460172</v>
      </c>
      <c r="BB42" s="282">
        <f t="shared" si="139"/>
        <v>1665.8310394638052</v>
      </c>
      <c r="BC42" s="74"/>
      <c r="BD42" s="70">
        <f t="shared" si="167"/>
        <v>575.41582885207936</v>
      </c>
      <c r="BE42" s="70">
        <f t="shared" si="168"/>
        <v>575.41582885207936</v>
      </c>
      <c r="BF42" s="70">
        <f t="shared" si="169"/>
        <v>575.41582885207936</v>
      </c>
      <c r="BG42" s="282">
        <f t="shared" si="140"/>
        <v>1726.2474865562381</v>
      </c>
      <c r="BH42" s="74"/>
      <c r="BI42" s="70">
        <f t="shared" si="170"/>
        <v>595.24335023017341</v>
      </c>
      <c r="BJ42" s="70">
        <f t="shared" si="171"/>
        <v>595.24335023017341</v>
      </c>
      <c r="BK42" s="70">
        <f t="shared" si="172"/>
        <v>595.24335023017341</v>
      </c>
      <c r="BL42" s="282">
        <f t="shared" si="141"/>
        <v>1785.7300506905203</v>
      </c>
      <c r="BM42" s="74"/>
      <c r="BN42" s="70">
        <f t="shared" si="173"/>
        <v>617.51840816517108</v>
      </c>
      <c r="BO42" s="70">
        <f t="shared" si="174"/>
        <v>617.51840816517108</v>
      </c>
      <c r="BP42" s="70">
        <f t="shared" si="175"/>
        <v>617.51840816517108</v>
      </c>
      <c r="BQ42" s="282">
        <f t="shared" si="142"/>
        <v>1852.5552244955134</v>
      </c>
      <c r="BR42" s="74"/>
      <c r="BS42" s="70">
        <f t="shared" si="176"/>
        <v>642.37375087590408</v>
      </c>
      <c r="BT42" s="70">
        <f t="shared" si="177"/>
        <v>642.37375087590408</v>
      </c>
      <c r="BU42" s="70">
        <f t="shared" si="178"/>
        <v>642.37375087590408</v>
      </c>
      <c r="BV42" s="282">
        <f t="shared" si="143"/>
        <v>1927.1212526277122</v>
      </c>
      <c r="BW42" s="74"/>
      <c r="BX42" s="70">
        <f t="shared" si="179"/>
        <v>670.03272753055012</v>
      </c>
      <c r="BY42" s="70">
        <f t="shared" si="180"/>
        <v>670.03272753055012</v>
      </c>
      <c r="BZ42" s="70">
        <f t="shared" si="181"/>
        <v>670.03272753055012</v>
      </c>
      <c r="CA42" s="282">
        <f t="shared" si="144"/>
        <v>2010.0981825916504</v>
      </c>
      <c r="CB42" s="74"/>
      <c r="CC42" s="70">
        <f t="shared" si="182"/>
        <v>700.78977575977206</v>
      </c>
      <c r="CD42" s="70">
        <f t="shared" si="183"/>
        <v>700.78977575977206</v>
      </c>
      <c r="CE42" s="70">
        <f t="shared" si="184"/>
        <v>700.78977575977206</v>
      </c>
      <c r="CF42" s="282">
        <f t="shared" si="145"/>
        <v>2102.3693272793162</v>
      </c>
      <c r="CG42" s="88"/>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1" t="s">
        <v>275</v>
      </c>
      <c r="B43" s="270">
        <v>0</v>
      </c>
      <c r="C43" s="269">
        <v>0</v>
      </c>
      <c r="D43" s="118"/>
      <c r="E43" s="117"/>
      <c r="F43" s="130">
        <v>10000</v>
      </c>
      <c r="G43" s="131">
        <v>10000</v>
      </c>
      <c r="H43" s="362">
        <v>500</v>
      </c>
      <c r="I43" s="104">
        <f>SUM(IF(ISBLANK(D43),      (IF((1*(IF(ISBLANK(E43),C43,E43)) + B43) &lt; 0,     0,     (1*(IF(ISBLANK(E43),C43,E43)) + B43)   )),       (IF((1*(IF(ISBLANK(E43),C43,E43)) + D43) &lt; 0,     0,     (1*(IF(ISBLANK(E43),C43,E43)) + D43)   ))  )       *   (I30/3)+(H43))</f>
        <v>500</v>
      </c>
      <c r="J43" s="282">
        <f t="shared" si="146"/>
        <v>63000</v>
      </c>
      <c r="K43" s="70">
        <f>SUM(IF(ISBLANK(D43),      (IF((2*(IF(ISBLANK(E43),C43,E43)) + B43) &lt; 0,     0,     (2*(IF(ISBLANK(E43),C43,E43)) + B43)   )),       (IF((2*(IF(ISBLANK(E43),C43,E43)) + D43) &lt; 0,     0,     (2*(IF(ISBLANK(E43),C43,E43)) + D43)   ))  )       *   (K30/3)+(I43))</f>
        <v>500</v>
      </c>
      <c r="L43" s="70">
        <f>SUM(IF(ISBLANK(D43),      (IF((3*(IF(ISBLANK(E43),C43,E43)) + B43) &lt; 0,     0,     (3*(IF(ISBLANK(E43),C43,E43)) + B43)   )),       (IF((3*(IF(ISBLANK(E43),C43,E43)) + D43) &lt; 0,     0,     (3*(IF(ISBLANK(E43),C43,E43)) + D43)   ))  )       *   (L30/3)+(K43))</f>
        <v>500</v>
      </c>
      <c r="M43" s="70">
        <f>SUM(IF(ISBLANK(D43),      (IF((4*(IF(ISBLANK(E43),C43,E43)) + B43) &lt; 0,     0,     (4*(IF(ISBLANK(E43),C43,E43)) + B43)   )),       (IF((4*(IF(ISBLANK(E43),C43,E43)) + D43) &lt; 0,     0,     (4*(IF(ISBLANK(E43),C43,E43)) + D43)   ))  )       *   (M30/3)+(L43))</f>
        <v>500</v>
      </c>
      <c r="N43" s="70">
        <f>SUM(IF(ISBLANK(D43),      (IF((5*(IF(ISBLANK(E43),C43,E43)) + B43) &lt; 0,     0,     (5*(IF(ISBLANK(E43),C43,E43)) + B43)   )),       (IF((5*(IF(ISBLANK(E43),C43,E43)) + D43) &lt; 0,     0,     (5*(IF(ISBLANK(E43),C43,E43)) + D43)   ))  )       *   (N30/3)+(M43))</f>
        <v>500</v>
      </c>
      <c r="O43" s="282">
        <f t="shared" si="147"/>
        <v>6000</v>
      </c>
      <c r="P43" s="70">
        <f>SUM(IF(ISBLANK(D43),      (IF((6*(IF(ISBLANK(E43),C43,E43)) + B43) &lt; 0,     0,     (6*(IF(ISBLANK(E43),C43,E43)) + B43)   )),       (IF((6*(IF(ISBLANK(E43),C43,E43)) + D43) &lt; 0,     0,     (6*(IF(ISBLANK(E43),C43,E43)) + D43)   ))  )       *   (P30/3)+(N43))</f>
        <v>500</v>
      </c>
      <c r="Q43" s="70">
        <f>SUM(IF(ISBLANK(D43),      (IF((7*(IF(ISBLANK(E43),C43,E43)) + B43) &lt; 0,     0,     (7*(IF(ISBLANK(E43),C43,E43)) + B43)   )),       (IF((7*(IF(ISBLANK(E43),C43,E43)) + D43) &lt; 0,     0,     (7*(IF(ISBLANK(E43),C43,E43)) + D43)   ))  )       *   (Q30/3)+(P43))</f>
        <v>500</v>
      </c>
      <c r="R43" s="70">
        <f>SUM(IF(ISBLANK(D43),      (IF((8*(IF(ISBLANK(E43),C43,E43)) + B43) &lt; 0,     0,     (8*(IF(ISBLANK(E43),C43,E43)) + B43)   )),       (IF((8*(IF(ISBLANK(E43),C43,E43)) + D43) &lt; 0,     0,     (8*(IF(ISBLANK(E43),C43,E43)) + D43)   ))  )       *   (R30/3)+(Q43))</f>
        <v>500</v>
      </c>
      <c r="S43" s="70">
        <f>SUM(IF(ISBLANK(D43),      (IF((9*(IF(ISBLANK(E43),C43,E43)) + B43) &lt; 0,     0,     (9*(IF(ISBLANK(E43),C43,E43)) + B43)   )),       (IF((9*(IF(ISBLANK(E43),C43,E43)) + D43) &lt; 0,     0,     (9*(IF(ISBLANK(E43),C43,E43)) + D43)   ))  )       *   (S30/3)+(R43))</f>
        <v>500</v>
      </c>
      <c r="T43" s="305">
        <f t="shared" si="148"/>
        <v>6000</v>
      </c>
      <c r="U43" s="281">
        <f>SUM(IF(ISBLANK(D43),      (IF((10*(IF(ISBLANK(E43),C43,E43)) + B43) &lt; 0,     0,     (10*(IF(ISBLANK(E43),C43,E43)) + B43)   )),       (IF((10*(IF(ISBLANK(E43),C43,E43)) + D43) &lt; 0,     0,     (10*(IF(ISBLANK(E43),C43,E43)) + D43)   ))  )       *   (U30)+(S43))*12</f>
        <v>6000</v>
      </c>
      <c r="V43" s="282">
        <f>SUM(IF(ISBLANK(D43),      (IF((11*(IF(ISBLANK(E43),C43,E43)) + B43) &lt; 0,     0,     (11*(IF(ISBLANK(E43),C43,E43)) + B43)   )),       (IF((11*(IF(ISBLANK(E43),C43,E43)) + D43) &lt; 0,     0,     (11*(IF(ISBLANK(E43),C43,E43)) + D43)   ))  )       *   (V30)+(U43))</f>
        <v>6000</v>
      </c>
      <c r="W43" s="283">
        <f>SUM(IF(ISBLANK(D43),      (IF((12*(IF(ISBLANK(E43),C43,E43)) + B43) &lt; 0,     0,     (12*(IF(ISBLANK(E43),C43,E43)) + B43)   )),       (IF((12*(IF(ISBLANK(E43),C43,E43)) + D43) &lt; 0,     0,     (12*(IF(ISBLANK(E43),C43,E43)) + D43)   ))  )       *   (W30)+(V43))</f>
        <v>6000</v>
      </c>
      <c r="X43" s="177"/>
      <c r="Y43" s="505">
        <f>SUM(1150+61191+16520+16425+10520+4487)</f>
        <v>110293</v>
      </c>
      <c r="Z43" s="70">
        <f t="shared" si="149"/>
        <v>10000</v>
      </c>
      <c r="AA43" s="70">
        <f t="shared" si="150"/>
        <v>10000</v>
      </c>
      <c r="AB43" s="70">
        <f t="shared" si="151"/>
        <v>10000</v>
      </c>
      <c r="AC43" s="282">
        <f t="shared" si="134"/>
        <v>30000</v>
      </c>
      <c r="AD43" s="74"/>
      <c r="AE43" s="70">
        <f t="shared" si="152"/>
        <v>10000</v>
      </c>
      <c r="AF43" s="70">
        <f t="shared" si="153"/>
        <v>10000</v>
      </c>
      <c r="AG43" s="70">
        <f t="shared" si="154"/>
        <v>10000</v>
      </c>
      <c r="AH43" s="282">
        <f t="shared" si="135"/>
        <v>30000</v>
      </c>
      <c r="AI43" s="74"/>
      <c r="AJ43" s="70">
        <f t="shared" si="155"/>
        <v>500</v>
      </c>
      <c r="AK43" s="70">
        <f t="shared" si="156"/>
        <v>500</v>
      </c>
      <c r="AL43" s="70">
        <f t="shared" si="157"/>
        <v>500</v>
      </c>
      <c r="AM43" s="282">
        <f t="shared" si="136"/>
        <v>1500</v>
      </c>
      <c r="AN43" s="74"/>
      <c r="AO43" s="70">
        <f t="shared" si="158"/>
        <v>500</v>
      </c>
      <c r="AP43" s="70">
        <f t="shared" si="159"/>
        <v>500</v>
      </c>
      <c r="AQ43" s="70">
        <f t="shared" si="160"/>
        <v>500</v>
      </c>
      <c r="AR43" s="282">
        <f t="shared" si="137"/>
        <v>1500</v>
      </c>
      <c r="AS43" s="74"/>
      <c r="AT43" s="70">
        <f t="shared" si="161"/>
        <v>500</v>
      </c>
      <c r="AU43" s="70">
        <f t="shared" si="162"/>
        <v>500</v>
      </c>
      <c r="AV43" s="70">
        <f t="shared" si="163"/>
        <v>500</v>
      </c>
      <c r="AW43" s="282">
        <f t="shared" si="138"/>
        <v>1500</v>
      </c>
      <c r="AX43" s="74"/>
      <c r="AY43" s="70">
        <f t="shared" si="164"/>
        <v>500</v>
      </c>
      <c r="AZ43" s="70">
        <f t="shared" si="165"/>
        <v>500</v>
      </c>
      <c r="BA43" s="70">
        <f t="shared" si="166"/>
        <v>500</v>
      </c>
      <c r="BB43" s="282">
        <f t="shared" si="139"/>
        <v>1500</v>
      </c>
      <c r="BC43" s="74"/>
      <c r="BD43" s="70">
        <f t="shared" si="167"/>
        <v>500</v>
      </c>
      <c r="BE43" s="70">
        <f t="shared" si="168"/>
        <v>500</v>
      </c>
      <c r="BF43" s="70">
        <f t="shared" si="169"/>
        <v>500</v>
      </c>
      <c r="BG43" s="282">
        <f t="shared" si="140"/>
        <v>1500</v>
      </c>
      <c r="BH43" s="74"/>
      <c r="BI43" s="70">
        <f t="shared" si="170"/>
        <v>500</v>
      </c>
      <c r="BJ43" s="70">
        <f t="shared" si="171"/>
        <v>500</v>
      </c>
      <c r="BK43" s="70">
        <f t="shared" si="172"/>
        <v>500</v>
      </c>
      <c r="BL43" s="282">
        <f t="shared" si="141"/>
        <v>1500</v>
      </c>
      <c r="BM43" s="74"/>
      <c r="BN43" s="70">
        <f t="shared" si="173"/>
        <v>500</v>
      </c>
      <c r="BO43" s="70">
        <f t="shared" si="174"/>
        <v>500</v>
      </c>
      <c r="BP43" s="70">
        <f t="shared" si="175"/>
        <v>500</v>
      </c>
      <c r="BQ43" s="282">
        <f t="shared" si="142"/>
        <v>1500</v>
      </c>
      <c r="BR43" s="74"/>
      <c r="BS43" s="70">
        <f t="shared" si="176"/>
        <v>500</v>
      </c>
      <c r="BT43" s="70">
        <f t="shared" si="177"/>
        <v>500</v>
      </c>
      <c r="BU43" s="70">
        <f t="shared" si="178"/>
        <v>500</v>
      </c>
      <c r="BV43" s="282">
        <f t="shared" si="143"/>
        <v>1500</v>
      </c>
      <c r="BW43" s="74"/>
      <c r="BX43" s="70">
        <f t="shared" si="179"/>
        <v>500</v>
      </c>
      <c r="BY43" s="70">
        <f t="shared" si="180"/>
        <v>500</v>
      </c>
      <c r="BZ43" s="70">
        <f t="shared" si="181"/>
        <v>500</v>
      </c>
      <c r="CA43" s="282">
        <f t="shared" si="144"/>
        <v>1500</v>
      </c>
      <c r="CB43" s="74"/>
      <c r="CC43" s="70">
        <f t="shared" si="182"/>
        <v>500</v>
      </c>
      <c r="CD43" s="70">
        <f t="shared" si="183"/>
        <v>500</v>
      </c>
      <c r="CE43" s="70">
        <f t="shared" si="184"/>
        <v>500</v>
      </c>
      <c r="CF43" s="282">
        <f t="shared" si="145"/>
        <v>1500</v>
      </c>
      <c r="CG43" s="88"/>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196" t="s">
        <v>276</v>
      </c>
      <c r="B44" s="367">
        <v>7</v>
      </c>
      <c r="C44" s="374">
        <v>0</v>
      </c>
      <c r="D44" s="122"/>
      <c r="E44" s="123"/>
      <c r="F44" s="129">
        <v>9</v>
      </c>
      <c r="G44" s="128">
        <v>8</v>
      </c>
      <c r="H44" s="372">
        <f>SUM((IF(ISBLANK(D44),B44,D44)))</f>
        <v>7</v>
      </c>
      <c r="I44" s="195">
        <f>SUM(H44+(IF(ISBLANK(E44),C44,E44)))</f>
        <v>7</v>
      </c>
      <c r="J44" s="279">
        <f>SUM((F44+G44+H44+I44)/4)</f>
        <v>7.75</v>
      </c>
      <c r="K44" s="195">
        <f>SUM(I44+(IF(ISBLANK(E44),C44,E44)))</f>
        <v>7</v>
      </c>
      <c r="L44" s="195">
        <f>SUM(K44+(IF(ISBLANK(E44),C44,E44)))</f>
        <v>7</v>
      </c>
      <c r="M44" s="195">
        <f>SUM(L44+(IF(ISBLANK(E44),C44,E44)))</f>
        <v>7</v>
      </c>
      <c r="N44" s="195">
        <f>SUM(M44+(IF(ISBLANK(E44),C44,E44)))</f>
        <v>7</v>
      </c>
      <c r="O44" s="279">
        <f>SUM(K44+L44+M44+N44)/4</f>
        <v>7</v>
      </c>
      <c r="P44" s="195">
        <f>SUM(N44+(IF(ISBLANK(E44),C44,E44)))</f>
        <v>7</v>
      </c>
      <c r="Q44" s="195">
        <f>SUM(P44+(IF(ISBLANK(E44),C44,E44)))</f>
        <v>7</v>
      </c>
      <c r="R44" s="195">
        <f>SUM(Q44+(IF(ISBLANK(E44),C44,E44)))</f>
        <v>7</v>
      </c>
      <c r="S44" s="195">
        <f>SUM(R44+(IF(ISBLANK(E44),C44,E44)))</f>
        <v>7</v>
      </c>
      <c r="T44" s="304">
        <f>SUM(P44+Q44+R44+S44)/4</f>
        <v>7</v>
      </c>
      <c r="U44" s="278">
        <f>SUM(S44+(IF(ISBLANK(E44),C44,E44)))</f>
        <v>7</v>
      </c>
      <c r="V44" s="279">
        <f>SUM(U44+(IF(ISBLANK(E44),C44,E44)))</f>
        <v>7</v>
      </c>
      <c r="W44" s="280">
        <f>SUM(V44+(IF(ISBLANK(E44),C44,E44)))</f>
        <v>7</v>
      </c>
      <c r="X44" s="172"/>
      <c r="Y44" s="506">
        <v>1.2</v>
      </c>
      <c r="Z44" s="195">
        <f>F44</f>
        <v>9</v>
      </c>
      <c r="AA44" s="195">
        <f>F44</f>
        <v>9</v>
      </c>
      <c r="AB44" s="195">
        <f>F44</f>
        <v>9</v>
      </c>
      <c r="AC44" s="279">
        <f>SUM((Z44+AA44+AB44)/3)</f>
        <v>9</v>
      </c>
      <c r="AD44" s="85"/>
      <c r="AE44" s="195">
        <f>G44</f>
        <v>8</v>
      </c>
      <c r="AF44" s="195">
        <f>G44</f>
        <v>8</v>
      </c>
      <c r="AG44" s="195">
        <f>G44</f>
        <v>8</v>
      </c>
      <c r="AH44" s="279">
        <f>SUM((AE44+AF44+AG44)/3)</f>
        <v>8</v>
      </c>
      <c r="AI44" s="85"/>
      <c r="AJ44" s="195">
        <f>H44</f>
        <v>7</v>
      </c>
      <c r="AK44" s="195">
        <f>H44</f>
        <v>7</v>
      </c>
      <c r="AL44" s="195">
        <f>H44</f>
        <v>7</v>
      </c>
      <c r="AM44" s="279">
        <f>SUM((AJ44+AK44+AL44)/3)</f>
        <v>7</v>
      </c>
      <c r="AN44" s="85"/>
      <c r="AO44" s="195">
        <f>I44</f>
        <v>7</v>
      </c>
      <c r="AP44" s="195">
        <f>I44</f>
        <v>7</v>
      </c>
      <c r="AQ44" s="195">
        <f>I44</f>
        <v>7</v>
      </c>
      <c r="AR44" s="279">
        <f>SUM((AO44+AP44+AQ44)/3)</f>
        <v>7</v>
      </c>
      <c r="AS44" s="85"/>
      <c r="AT44" s="195">
        <f>K44</f>
        <v>7</v>
      </c>
      <c r="AU44" s="195">
        <f>K44</f>
        <v>7</v>
      </c>
      <c r="AV44" s="195">
        <f>K44</f>
        <v>7</v>
      </c>
      <c r="AW44" s="279">
        <f>SUM((AT44+AU44+AV44)/3)</f>
        <v>7</v>
      </c>
      <c r="AX44" s="85"/>
      <c r="AY44" s="195">
        <f>L44</f>
        <v>7</v>
      </c>
      <c r="AZ44" s="195">
        <f>L44</f>
        <v>7</v>
      </c>
      <c r="BA44" s="195">
        <f>L44</f>
        <v>7</v>
      </c>
      <c r="BB44" s="279">
        <f>SUM((AY44+AZ44+BA44)/3)</f>
        <v>7</v>
      </c>
      <c r="BC44" s="85"/>
      <c r="BD44" s="195">
        <f>M44</f>
        <v>7</v>
      </c>
      <c r="BE44" s="195">
        <f>M44</f>
        <v>7</v>
      </c>
      <c r="BF44" s="195">
        <f>M44</f>
        <v>7</v>
      </c>
      <c r="BG44" s="279">
        <f>SUM((BD44+BE44+BF44)/3)</f>
        <v>7</v>
      </c>
      <c r="BH44" s="85"/>
      <c r="BI44" s="195">
        <f>N44</f>
        <v>7</v>
      </c>
      <c r="BJ44" s="195">
        <f>N44</f>
        <v>7</v>
      </c>
      <c r="BK44" s="195">
        <f>N44</f>
        <v>7</v>
      </c>
      <c r="BL44" s="279">
        <f>SUM((BI44+BJ44+BK44)/3)</f>
        <v>7</v>
      </c>
      <c r="BM44" s="85"/>
      <c r="BN44" s="195">
        <f>P44</f>
        <v>7</v>
      </c>
      <c r="BO44" s="195">
        <f>P44</f>
        <v>7</v>
      </c>
      <c r="BP44" s="195">
        <f>P44</f>
        <v>7</v>
      </c>
      <c r="BQ44" s="279">
        <f>SUM((BN44+BO44+BP44)/3)</f>
        <v>7</v>
      </c>
      <c r="BR44" s="85"/>
      <c r="BS44" s="195">
        <f>Q44</f>
        <v>7</v>
      </c>
      <c r="BT44" s="195">
        <f>Q44</f>
        <v>7</v>
      </c>
      <c r="BU44" s="195">
        <f>Q44</f>
        <v>7</v>
      </c>
      <c r="BV44" s="279">
        <f>SUM((BS44+BT44+BU44)/3)</f>
        <v>7</v>
      </c>
      <c r="BW44" s="85"/>
      <c r="BX44" s="195">
        <f>R44</f>
        <v>7</v>
      </c>
      <c r="BY44" s="195">
        <f>R44</f>
        <v>7</v>
      </c>
      <c r="BZ44" s="195">
        <f>R44</f>
        <v>7</v>
      </c>
      <c r="CA44" s="279">
        <f>SUM((BX44+BY44+BZ44)/3)</f>
        <v>7</v>
      </c>
      <c r="CB44" s="85"/>
      <c r="CC44" s="195">
        <f>S44</f>
        <v>7</v>
      </c>
      <c r="CD44" s="195">
        <f>S44</f>
        <v>7</v>
      </c>
      <c r="CE44" s="195">
        <f>S44</f>
        <v>7</v>
      </c>
      <c r="CF44" s="279">
        <f>SUM((CC44+CD44+CE44)/3)</f>
        <v>7</v>
      </c>
      <c r="CG44" s="87"/>
    </row>
    <row r="45" spans="1:175" s="9" customFormat="1" ht="9.75" customHeight="1" x14ac:dyDescent="0.15">
      <c r="A45" s="61" t="s">
        <v>277</v>
      </c>
      <c r="B45" s="270">
        <v>0</v>
      </c>
      <c r="C45" s="481">
        <v>500000</v>
      </c>
      <c r="D45" s="118"/>
      <c r="E45" s="119"/>
      <c r="F45" s="130">
        <v>0</v>
      </c>
      <c r="G45" s="131">
        <v>0</v>
      </c>
      <c r="H45" s="70">
        <f>SUM(G45+(IF(IF(ISBLANK(D45),B45,D45)*(G30/3)&gt;(IF(ISBLANK(E45),C45,E45)),IF(ISBLANK(E45),C45,E45),IF(ISBLANK(D45),B45,D45)*(G30/3))))</f>
        <v>0</v>
      </c>
      <c r="I45" s="104">
        <f>SUM(G45+(IF(IF(ISBLANK(D45),B45,D45)*(H30/3)&gt;(IF(ISBLANK(E45),C45,E45)),IF(ISBLANK(E45),C45,E45),IF(ISBLANK(D45),B45,D45)*(H30/3))))</f>
        <v>0</v>
      </c>
      <c r="J45" s="282">
        <f t="shared" si="146"/>
        <v>0</v>
      </c>
      <c r="K45" s="70">
        <f>SUM(G45+(IF(IF(ISBLANK(D45),B45,D45)*(I30/3)&gt;(IF(ISBLANK(E45),C45,E45)),IF(ISBLANK(E45),C45,E45),IF(ISBLANK(D45),B45,D45)*(I30/3))))</f>
        <v>0</v>
      </c>
      <c r="L45" s="70">
        <f>SUM(G45+(IF(IF(ISBLANK(D45),B45,D45)*(K30/3)&gt;(IF(ISBLANK(E45),C45,E45)),IF(ISBLANK(E45),C45,E45),IF(ISBLANK(D45),B45,D45)*(K30/3))))</f>
        <v>0</v>
      </c>
      <c r="M45" s="70">
        <f>SUM(G45+(IF(IF(ISBLANK(D45),B45,D45)*(L30/3)&gt;(IF(ISBLANK(E45),C45,E45)),IF(ISBLANK(E45),C45,E45),IF(ISBLANK(D45),B45,D45)*(L30/3))))</f>
        <v>0</v>
      </c>
      <c r="N45" s="70">
        <f>SUM(G45+(IF(IF(ISBLANK(D45),B45,D45)*(M30/3)&gt;(IF(ISBLANK(E45),C45,E45)),IF(ISBLANK(E45),C45,E45),IF(ISBLANK(D45),B45,D45)*(M30/3))))</f>
        <v>0</v>
      </c>
      <c r="O45" s="282">
        <f t="shared" si="147"/>
        <v>0</v>
      </c>
      <c r="P45" s="70">
        <f>SUM(G45+(IF(IF(ISBLANK(D45),B45,D45)*(N30/3)&gt;(IF(ISBLANK(E45),C45,E45)),IF(ISBLANK(E45),C45,E45),IF(ISBLANK(D45),B45,D45)*(N30/3))))</f>
        <v>0</v>
      </c>
      <c r="Q45" s="70">
        <f>SUM(G45+(IF(IF(ISBLANK(D45),B45,D45)*(P30/3)&gt;(IF(ISBLANK(E45),C45,E45)),IF(ISBLANK(E45),C45,E45),IF(ISBLANK(D45),B45,D45)*(P30/3))))</f>
        <v>0</v>
      </c>
      <c r="R45" s="70">
        <f>SUM(G45+(IF(IF(ISBLANK(D45),B45,D45)*(Q30/3)&gt;(IF(ISBLANK(E45),C45,E45)),IF(ISBLANK(E45),C45,E45),IF(ISBLANK(D45),B45,D45)*(Q30/3))))</f>
        <v>0</v>
      </c>
      <c r="S45" s="70">
        <f>SUM(G45+(IF(IF(ISBLANK(D45),B45,D45)*(R30/3)&gt;(IF(ISBLANK(E45),C45,E45)),IF(ISBLANK(E45),C45,E45),IF(ISBLANK(D45),B45,D45)*(R30/3))))</f>
        <v>0</v>
      </c>
      <c r="T45" s="305">
        <f t="shared" si="148"/>
        <v>0</v>
      </c>
      <c r="U45" s="281">
        <f>SUM(G45+(IF(IF(ISBLANK(D45),B45,D45)*(S30)&gt;(IF(ISBLANK(E45),C45,E45)),IF(ISBLANK(E45),C45,E45),IF(ISBLANK(D45),B45,D45)*(S30))))</f>
        <v>0</v>
      </c>
      <c r="V45" s="282">
        <f>SUM(G45+(IF(IF(ISBLANK(D45),B45,D45)*(U30)&gt;(IF(ISBLANK(E45),C45,E45)),IF(ISBLANK(E45),C45,E45),IF(ISBLANK(D45),B45,D45)*(U30))))</f>
        <v>0</v>
      </c>
      <c r="W45" s="283">
        <f>SUM(G45+(IF(IF(ISBLANK(D45),B45,D45)*(V30)&gt;(IF(ISBLANK(E45),C45,E45)),IF(ISBLANK(E45),C45,E45),IF(ISBLANK(D45),B45,D45)*(V30))))</f>
        <v>0</v>
      </c>
      <c r="X45" s="177"/>
      <c r="Y45" s="505">
        <v>0</v>
      </c>
      <c r="Z45" s="70">
        <f t="shared" si="149"/>
        <v>0</v>
      </c>
      <c r="AA45" s="70">
        <f t="shared" si="150"/>
        <v>0</v>
      </c>
      <c r="AB45" s="70">
        <f t="shared" si="151"/>
        <v>0</v>
      </c>
      <c r="AC45" s="282">
        <f>SUM(Z45:AB45)</f>
        <v>0</v>
      </c>
      <c r="AD45" s="74"/>
      <c r="AE45" s="70">
        <f t="shared" si="152"/>
        <v>0</v>
      </c>
      <c r="AF45" s="70">
        <f t="shared" si="153"/>
        <v>0</v>
      </c>
      <c r="AG45" s="70">
        <f t="shared" si="154"/>
        <v>0</v>
      </c>
      <c r="AH45" s="282">
        <f t="shared" si="135"/>
        <v>0</v>
      </c>
      <c r="AI45" s="74"/>
      <c r="AJ45" s="70">
        <f t="shared" si="155"/>
        <v>0</v>
      </c>
      <c r="AK45" s="70">
        <f t="shared" si="156"/>
        <v>0</v>
      </c>
      <c r="AL45" s="70">
        <f t="shared" si="157"/>
        <v>0</v>
      </c>
      <c r="AM45" s="282">
        <f>SUM(AJ45:AL45)</f>
        <v>0</v>
      </c>
      <c r="AN45" s="74"/>
      <c r="AO45" s="70">
        <f t="shared" si="158"/>
        <v>0</v>
      </c>
      <c r="AP45" s="70">
        <f t="shared" si="159"/>
        <v>0</v>
      </c>
      <c r="AQ45" s="70">
        <f t="shared" si="160"/>
        <v>0</v>
      </c>
      <c r="AR45" s="282">
        <f>SUM(AO45:AQ45)</f>
        <v>0</v>
      </c>
      <c r="AS45" s="74"/>
      <c r="AT45" s="70">
        <f t="shared" si="161"/>
        <v>0</v>
      </c>
      <c r="AU45" s="70">
        <f t="shared" si="162"/>
        <v>0</v>
      </c>
      <c r="AV45" s="70">
        <f t="shared" si="163"/>
        <v>0</v>
      </c>
      <c r="AW45" s="282">
        <f>SUM(AT45:AV45)</f>
        <v>0</v>
      </c>
      <c r="AX45" s="74"/>
      <c r="AY45" s="70">
        <f t="shared" si="164"/>
        <v>0</v>
      </c>
      <c r="AZ45" s="70">
        <f t="shared" si="165"/>
        <v>0</v>
      </c>
      <c r="BA45" s="70">
        <f t="shared" si="166"/>
        <v>0</v>
      </c>
      <c r="BB45" s="282">
        <f>SUM(AY45:BA45)</f>
        <v>0</v>
      </c>
      <c r="BC45" s="74"/>
      <c r="BD45" s="70">
        <f t="shared" si="167"/>
        <v>0</v>
      </c>
      <c r="BE45" s="70">
        <f t="shared" si="168"/>
        <v>0</v>
      </c>
      <c r="BF45" s="70">
        <f t="shared" si="169"/>
        <v>0</v>
      </c>
      <c r="BG45" s="282">
        <f>SUM(BD45:BF45)</f>
        <v>0</v>
      </c>
      <c r="BH45" s="74"/>
      <c r="BI45" s="70">
        <f t="shared" si="170"/>
        <v>0</v>
      </c>
      <c r="BJ45" s="70">
        <f t="shared" si="171"/>
        <v>0</v>
      </c>
      <c r="BK45" s="70">
        <f t="shared" si="172"/>
        <v>0</v>
      </c>
      <c r="BL45" s="282">
        <f>SUM(BI45:BK45)</f>
        <v>0</v>
      </c>
      <c r="BM45" s="74"/>
      <c r="BN45" s="70">
        <f t="shared" si="173"/>
        <v>0</v>
      </c>
      <c r="BO45" s="70">
        <f>P45</f>
        <v>0</v>
      </c>
      <c r="BP45" s="70">
        <f t="shared" si="175"/>
        <v>0</v>
      </c>
      <c r="BQ45" s="282">
        <f>SUM(BN45:BP45)</f>
        <v>0</v>
      </c>
      <c r="BR45" s="74"/>
      <c r="BS45" s="70">
        <f t="shared" si="176"/>
        <v>0</v>
      </c>
      <c r="BT45" s="70">
        <f t="shared" si="177"/>
        <v>0</v>
      </c>
      <c r="BU45" s="70">
        <f t="shared" si="178"/>
        <v>0</v>
      </c>
      <c r="BV45" s="282">
        <f>SUM(BS45:BU45)</f>
        <v>0</v>
      </c>
      <c r="BW45" s="74"/>
      <c r="BX45" s="70">
        <f t="shared" si="179"/>
        <v>0</v>
      </c>
      <c r="BY45" s="70">
        <f t="shared" si="180"/>
        <v>0</v>
      </c>
      <c r="BZ45" s="70">
        <f t="shared" si="181"/>
        <v>0</v>
      </c>
      <c r="CA45" s="282">
        <f>SUM(BX45:BZ45)</f>
        <v>0</v>
      </c>
      <c r="CB45" s="74"/>
      <c r="CC45" s="70">
        <f t="shared" si="182"/>
        <v>0</v>
      </c>
      <c r="CD45" s="70">
        <f t="shared" si="183"/>
        <v>0</v>
      </c>
      <c r="CE45" s="70">
        <f t="shared" si="184"/>
        <v>0</v>
      </c>
      <c r="CF45" s="282">
        <f>SUM(CC45:CE45)</f>
        <v>0</v>
      </c>
      <c r="CG45" s="88"/>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1" t="s">
        <v>278</v>
      </c>
      <c r="B46" s="363">
        <v>0</v>
      </c>
      <c r="C46" s="305"/>
      <c r="D46" s="116"/>
      <c r="E46" s="357"/>
      <c r="F46" s="130">
        <v>1000</v>
      </c>
      <c r="G46" s="131">
        <f>SUM((IF(ISBLANK(D46),B46,D46)/3)*0.35)</f>
        <v>0</v>
      </c>
      <c r="H46" s="70">
        <f>SUM((IF(ISBLANK(D46),B46,D46)/3)*0.3)</f>
        <v>0</v>
      </c>
      <c r="I46" s="104">
        <f>SUM((IF(ISBLANK(D46),B46,D46)/3)*0.2)</f>
        <v>0</v>
      </c>
      <c r="J46" s="282">
        <f>SUM(F46:I46)*3</f>
        <v>3000</v>
      </c>
      <c r="K46" s="70">
        <f>SUM((IF(ISBLANK(D46),B46,D46)/3)*0.15)</f>
        <v>0</v>
      </c>
      <c r="L46" s="70">
        <v>0</v>
      </c>
      <c r="M46" s="70">
        <v>0</v>
      </c>
      <c r="N46" s="70">
        <v>0</v>
      </c>
      <c r="O46" s="282">
        <f>SUM(K46:N46)*3</f>
        <v>0</v>
      </c>
      <c r="P46" s="70">
        <v>0</v>
      </c>
      <c r="Q46" s="70">
        <v>0</v>
      </c>
      <c r="R46" s="70">
        <v>0</v>
      </c>
      <c r="S46" s="70">
        <v>0</v>
      </c>
      <c r="T46" s="305">
        <f>SUM(P46:S46)*3</f>
        <v>0</v>
      </c>
      <c r="U46" s="281">
        <v>0</v>
      </c>
      <c r="V46" s="282">
        <v>0</v>
      </c>
      <c r="W46" s="283">
        <v>0</v>
      </c>
      <c r="X46" s="177"/>
      <c r="Y46" s="505">
        <v>2000</v>
      </c>
      <c r="Z46" s="70">
        <f t="shared" si="149"/>
        <v>1000</v>
      </c>
      <c r="AA46" s="70">
        <f t="shared" si="150"/>
        <v>1000</v>
      </c>
      <c r="AB46" s="70">
        <f t="shared" si="151"/>
        <v>1000</v>
      </c>
      <c r="AC46" s="282">
        <f>SUM(Z46:AB46)</f>
        <v>3000</v>
      </c>
      <c r="AD46" s="74"/>
      <c r="AE46" s="70">
        <f t="shared" si="152"/>
        <v>0</v>
      </c>
      <c r="AF46" s="70">
        <f t="shared" si="153"/>
        <v>0</v>
      </c>
      <c r="AG46" s="70">
        <f t="shared" si="154"/>
        <v>0</v>
      </c>
      <c r="AH46" s="282">
        <f t="shared" si="135"/>
        <v>0</v>
      </c>
      <c r="AI46" s="74"/>
      <c r="AJ46" s="70">
        <f t="shared" si="155"/>
        <v>0</v>
      </c>
      <c r="AK46" s="70">
        <f t="shared" si="156"/>
        <v>0</v>
      </c>
      <c r="AL46" s="70">
        <f t="shared" si="157"/>
        <v>0</v>
      </c>
      <c r="AM46" s="282">
        <f>SUM(AJ46:AL46)</f>
        <v>0</v>
      </c>
      <c r="AN46" s="74"/>
      <c r="AO46" s="70">
        <f t="shared" si="158"/>
        <v>0</v>
      </c>
      <c r="AP46" s="70">
        <f t="shared" si="159"/>
        <v>0</v>
      </c>
      <c r="AQ46" s="70">
        <f t="shared" si="160"/>
        <v>0</v>
      </c>
      <c r="AR46" s="282">
        <f>SUM(AO46:AQ46)</f>
        <v>0</v>
      </c>
      <c r="AS46" s="74"/>
      <c r="AT46" s="70">
        <f t="shared" si="161"/>
        <v>0</v>
      </c>
      <c r="AU46" s="70">
        <f t="shared" si="162"/>
        <v>0</v>
      </c>
      <c r="AV46" s="70">
        <f t="shared" si="163"/>
        <v>0</v>
      </c>
      <c r="AW46" s="282">
        <f>SUM(AT46:AV46)</f>
        <v>0</v>
      </c>
      <c r="AX46" s="74"/>
      <c r="AY46" s="70">
        <f t="shared" si="164"/>
        <v>0</v>
      </c>
      <c r="AZ46" s="70">
        <f t="shared" si="165"/>
        <v>0</v>
      </c>
      <c r="BA46" s="70">
        <f t="shared" si="166"/>
        <v>0</v>
      </c>
      <c r="BB46" s="282">
        <f>SUM(AY46:BA46)</f>
        <v>0</v>
      </c>
      <c r="BC46" s="74"/>
      <c r="BD46" s="70">
        <f t="shared" si="167"/>
        <v>0</v>
      </c>
      <c r="BE46" s="70">
        <f t="shared" si="168"/>
        <v>0</v>
      </c>
      <c r="BF46" s="70">
        <f t="shared" si="169"/>
        <v>0</v>
      </c>
      <c r="BG46" s="282">
        <f>SUM(BD46:BF46)</f>
        <v>0</v>
      </c>
      <c r="BH46" s="74"/>
      <c r="BI46" s="70">
        <f t="shared" si="170"/>
        <v>0</v>
      </c>
      <c r="BJ46" s="70">
        <f t="shared" si="171"/>
        <v>0</v>
      </c>
      <c r="BK46" s="70">
        <f t="shared" si="172"/>
        <v>0</v>
      </c>
      <c r="BL46" s="282">
        <f>SUM(BI46:BK46)</f>
        <v>0</v>
      </c>
      <c r="BM46" s="74"/>
      <c r="BN46" s="70">
        <f t="shared" si="173"/>
        <v>0</v>
      </c>
      <c r="BO46" s="70">
        <f>P46</f>
        <v>0</v>
      </c>
      <c r="BP46" s="70">
        <f t="shared" si="175"/>
        <v>0</v>
      </c>
      <c r="BQ46" s="282">
        <f>SUM(BN46:BP46)</f>
        <v>0</v>
      </c>
      <c r="BR46" s="74"/>
      <c r="BS46" s="70">
        <f t="shared" si="176"/>
        <v>0</v>
      </c>
      <c r="BT46" s="70">
        <f t="shared" si="177"/>
        <v>0</v>
      </c>
      <c r="BU46" s="70">
        <f t="shared" si="178"/>
        <v>0</v>
      </c>
      <c r="BV46" s="282">
        <f>SUM(BS46:BU46)</f>
        <v>0</v>
      </c>
      <c r="BW46" s="74"/>
      <c r="BX46" s="70">
        <f t="shared" si="179"/>
        <v>0</v>
      </c>
      <c r="BY46" s="70">
        <f t="shared" si="180"/>
        <v>0</v>
      </c>
      <c r="BZ46" s="70">
        <f t="shared" si="181"/>
        <v>0</v>
      </c>
      <c r="CA46" s="282">
        <f>SUM(BX46:BZ46)</f>
        <v>0</v>
      </c>
      <c r="CB46" s="74"/>
      <c r="CC46" s="70">
        <f t="shared" si="182"/>
        <v>0</v>
      </c>
      <c r="CD46" s="70">
        <f t="shared" si="183"/>
        <v>0</v>
      </c>
      <c r="CE46" s="70">
        <f t="shared" si="184"/>
        <v>0</v>
      </c>
      <c r="CF46" s="282">
        <f>SUM(CC46:CE46)</f>
        <v>0</v>
      </c>
      <c r="CG46" s="88"/>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2" t="s">
        <v>207</v>
      </c>
      <c r="B47" s="161"/>
      <c r="C47" s="157"/>
      <c r="D47" s="161"/>
      <c r="E47" s="86"/>
      <c r="F47" s="105">
        <f>AC47</f>
        <v>117690</v>
      </c>
      <c r="G47" s="77">
        <f>AH47</f>
        <v>114774</v>
      </c>
      <c r="H47" s="77">
        <f>AM47</f>
        <v>28759.658007803017</v>
      </c>
      <c r="I47" s="77">
        <f>AR47</f>
        <v>30674.370558020455</v>
      </c>
      <c r="J47" s="72">
        <f>SUM(F47:I47)</f>
        <v>291898.02856582345</v>
      </c>
      <c r="K47" s="77">
        <f>AW47</f>
        <v>48728.491618498578</v>
      </c>
      <c r="L47" s="77">
        <f>BB47</f>
        <v>51496.655136013651</v>
      </c>
      <c r="M47" s="77">
        <f>BG47</f>
        <v>54606.11132726878</v>
      </c>
      <c r="N47" s="77">
        <f>BL47</f>
        <v>58052.775913375102</v>
      </c>
      <c r="O47" s="72">
        <f>SUM(K47:N47)</f>
        <v>212884.03399515612</v>
      </c>
      <c r="P47" s="77">
        <f>BQ47</f>
        <v>68151.713358515437</v>
      </c>
      <c r="Q47" s="77">
        <f>BV47</f>
        <v>81997.761967929837</v>
      </c>
      <c r="R47" s="77">
        <f>CA47</f>
        <v>102813.53148651216</v>
      </c>
      <c r="S47" s="77">
        <f>CF47</f>
        <v>124531.68475280351</v>
      </c>
      <c r="T47" s="158">
        <f>SUM(P47:S47)</f>
        <v>377494.69156576094</v>
      </c>
      <c r="U47" s="162">
        <f>SUM(U33:U45)</f>
        <v>834840.67153514444</v>
      </c>
      <c r="V47" s="72">
        <f>SUM(V33:V45)</f>
        <v>1344518.2569571973</v>
      </c>
      <c r="W47" s="89">
        <f>SUM(W33:W45)</f>
        <v>2053484.2917070407</v>
      </c>
      <c r="X47" s="178"/>
      <c r="Y47" s="509">
        <f>SUM(Y33:Y46)</f>
        <v>1083618.2</v>
      </c>
      <c r="Z47" s="77">
        <f>SUM(Z33:Z46)</f>
        <v>39230</v>
      </c>
      <c r="AA47" s="77">
        <f>SUM(AA33:AA46)</f>
        <v>39230</v>
      </c>
      <c r="AB47" s="77">
        <f>SUM(AB33:AB46)</f>
        <v>39230</v>
      </c>
      <c r="AC47" s="72">
        <f>SUM(Z47:AB47)</f>
        <v>117690</v>
      </c>
      <c r="AD47" s="72"/>
      <c r="AE47" s="77">
        <f>SUM(AE33:AE46)</f>
        <v>38258</v>
      </c>
      <c r="AF47" s="77">
        <f>SUM(AF33:AF46)</f>
        <v>38258</v>
      </c>
      <c r="AG47" s="77">
        <f>SUM(AG33:AG46)</f>
        <v>38258</v>
      </c>
      <c r="AH47" s="72">
        <f>SUM(AE47:AG47)</f>
        <v>114774</v>
      </c>
      <c r="AI47" s="72"/>
      <c r="AJ47" s="77">
        <f>SUM(AJ33:AJ46)</f>
        <v>9586.5526692676722</v>
      </c>
      <c r="AK47" s="77">
        <f>SUM(AK33:AK46)</f>
        <v>9586.5526692676722</v>
      </c>
      <c r="AL47" s="77">
        <f>SUM(AL33:AL46)</f>
        <v>9586.5526692676722</v>
      </c>
      <c r="AM47" s="72">
        <f>SUM(AJ47:AL47)</f>
        <v>28759.658007803017</v>
      </c>
      <c r="AN47" s="72"/>
      <c r="AO47" s="77">
        <f>SUM(AO33:AO46)</f>
        <v>10224.790186006818</v>
      </c>
      <c r="AP47" s="77">
        <f>SUM(AP33:AP46)</f>
        <v>10224.790186006818</v>
      </c>
      <c r="AQ47" s="77">
        <f>SUM(AQ33:AQ46)</f>
        <v>10224.790186006818</v>
      </c>
      <c r="AR47" s="72">
        <f>SUM(AO47:AQ47)</f>
        <v>30674.370558020455</v>
      </c>
      <c r="AS47" s="72"/>
      <c r="AT47" s="77">
        <f>SUM(AT33:AT46)</f>
        <v>16242.830539499526</v>
      </c>
      <c r="AU47" s="77">
        <f>SUM(AU33:AU46)</f>
        <v>16242.830539499526</v>
      </c>
      <c r="AV47" s="77">
        <f>SUM(AV33:AV46)</f>
        <v>16242.830539499526</v>
      </c>
      <c r="AW47" s="72">
        <f>SUM(AT47:AV47)</f>
        <v>48728.491618498578</v>
      </c>
      <c r="AX47" s="72"/>
      <c r="AY47" s="77">
        <f>SUM(AY33:AY46)</f>
        <v>17165.551712004552</v>
      </c>
      <c r="AZ47" s="77">
        <f>SUM(AZ33:AZ46)</f>
        <v>17165.551712004552</v>
      </c>
      <c r="BA47" s="77">
        <f>SUM(BA33:BA46)</f>
        <v>17165.551712004552</v>
      </c>
      <c r="BB47" s="72">
        <f>SUM(AY47:BA47)</f>
        <v>51496.655136013651</v>
      </c>
      <c r="BC47" s="72"/>
      <c r="BD47" s="77">
        <f>SUM(BD33:BD46)</f>
        <v>18202.037109089593</v>
      </c>
      <c r="BE47" s="77">
        <f>SUM(BE33:BE46)</f>
        <v>18202.037109089593</v>
      </c>
      <c r="BF47" s="77">
        <f>SUM(BF33:BF46)</f>
        <v>18202.037109089593</v>
      </c>
      <c r="BG47" s="72">
        <f>SUM(BD47:BF47)</f>
        <v>54606.11132726878</v>
      </c>
      <c r="BH47" s="72"/>
      <c r="BI47" s="77">
        <f>SUM(BI33:BI46)</f>
        <v>19350.925304458367</v>
      </c>
      <c r="BJ47" s="77">
        <f>SUM(BJ33:BJ46)</f>
        <v>19350.925304458367</v>
      </c>
      <c r="BK47" s="77">
        <f>SUM(BK33:BK46)</f>
        <v>19350.925304458367</v>
      </c>
      <c r="BL47" s="72">
        <f>SUM(BI47:BK47)</f>
        <v>58052.775913375102</v>
      </c>
      <c r="BM47" s="72"/>
      <c r="BN47" s="77">
        <f>SUM(BN33:BN46)</f>
        <v>22717.237786171812</v>
      </c>
      <c r="BO47" s="77">
        <f>SUM(BO33:BO46)</f>
        <v>22717.237786171812</v>
      </c>
      <c r="BP47" s="77">
        <f>SUM(BP33:BP46)</f>
        <v>22717.237786171812</v>
      </c>
      <c r="BQ47" s="72">
        <f>SUM(BN47:BP47)</f>
        <v>68151.713358515437</v>
      </c>
      <c r="BR47" s="72"/>
      <c r="BS47" s="77">
        <f>SUM(BS33:BS46)</f>
        <v>27332.587322643278</v>
      </c>
      <c r="BT47" s="77">
        <f>SUM(BT33:BT46)</f>
        <v>27332.587322643278</v>
      </c>
      <c r="BU47" s="77">
        <f>SUM(BU33:BU46)</f>
        <v>27332.587322643278</v>
      </c>
      <c r="BV47" s="72">
        <f>SUM(BS47:BU47)</f>
        <v>81997.761967929837</v>
      </c>
      <c r="BW47" s="72"/>
      <c r="BX47" s="77">
        <f>SUM(BX33:BX46)</f>
        <v>34271.177162170723</v>
      </c>
      <c r="BY47" s="77">
        <f>SUM(BY33:BY46)</f>
        <v>34271.177162170723</v>
      </c>
      <c r="BZ47" s="77">
        <f>SUM(BZ33:BZ46)</f>
        <v>34271.177162170723</v>
      </c>
      <c r="CA47" s="72">
        <f>SUM(BX47:BZ47)</f>
        <v>102813.53148651216</v>
      </c>
      <c r="CB47" s="72"/>
      <c r="CC47" s="77">
        <f>SUM(CC33:CC46)</f>
        <v>41510.561584267838</v>
      </c>
      <c r="CD47" s="77">
        <f>SUM(CD33:CD46)</f>
        <v>41510.561584267838</v>
      </c>
      <c r="CE47" s="77">
        <f>SUM(CE33:CE46)</f>
        <v>41510.561584267838</v>
      </c>
      <c r="CF47" s="72">
        <f>SUM(CC47:CE47)</f>
        <v>124531.68475280351</v>
      </c>
      <c r="CG47" s="89"/>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3"/>
      <c r="B48" s="40"/>
      <c r="C48" s="108"/>
      <c r="D48" s="40"/>
      <c r="E48" s="42"/>
      <c r="F48" s="106"/>
      <c r="G48" s="67"/>
      <c r="H48" s="67"/>
      <c r="I48" s="67"/>
      <c r="J48" s="67"/>
      <c r="K48" s="67"/>
      <c r="L48" s="67"/>
      <c r="M48" s="67"/>
      <c r="N48" s="67"/>
      <c r="O48" s="67"/>
      <c r="P48" s="67"/>
      <c r="Q48" s="67"/>
      <c r="R48" s="67"/>
      <c r="S48" s="67"/>
      <c r="T48" s="159"/>
      <c r="U48" s="163"/>
      <c r="V48" s="67"/>
      <c r="W48" s="68"/>
      <c r="X48" s="167"/>
      <c r="Y48" s="78"/>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80"/>
      <c r="CG48" s="81"/>
    </row>
    <row r="49" spans="1:175" s="9" customFormat="1" ht="15" customHeight="1" thickBot="1" x14ac:dyDescent="0.2">
      <c r="A49" s="132" t="s">
        <v>208</v>
      </c>
      <c r="B49" s="311"/>
      <c r="C49" s="312"/>
      <c r="D49" s="311"/>
      <c r="E49" s="313"/>
      <c r="F49" s="107">
        <f>AC49</f>
        <v>-117690</v>
      </c>
      <c r="G49" s="97">
        <f>AH49</f>
        <v>-114774</v>
      </c>
      <c r="H49" s="97">
        <f>AM49</f>
        <v>-24312.501378987239</v>
      </c>
      <c r="I49" s="97">
        <f>AR49</f>
        <v>-16946.528974579858</v>
      </c>
      <c r="J49" s="83">
        <f>SUM(F49:I49)</f>
        <v>-273723.0303535671</v>
      </c>
      <c r="K49" s="97">
        <f>AW49</f>
        <v>-27884.094140896977</v>
      </c>
      <c r="L49" s="95">
        <f>BB49</f>
        <v>-22457.474272497537</v>
      </c>
      <c r="M49" s="95">
        <f>BG49</f>
        <v>-16474.688402210595</v>
      </c>
      <c r="N49" s="95">
        <f>BL49</f>
        <v>-9761.6863872861941</v>
      </c>
      <c r="O49" s="83">
        <f>SUM(K49:N49)</f>
        <v>-76577.9432028913</v>
      </c>
      <c r="P49" s="95">
        <f>BQ49</f>
        <v>-8048.7585761019</v>
      </c>
      <c r="Q49" s="95">
        <f>BV49</f>
        <v>-7994.7180481699907</v>
      </c>
      <c r="R49" s="95">
        <f>CA49</f>
        <v>-12526.874831157518</v>
      </c>
      <c r="S49" s="95">
        <f>CF49</f>
        <v>-15230.50466015446</v>
      </c>
      <c r="T49" s="308">
        <f>SUM(P49:S49)</f>
        <v>-43800.856115583869</v>
      </c>
      <c r="U49" s="309">
        <f>SUM(U30-U47)</f>
        <v>223651.98742177931</v>
      </c>
      <c r="V49" s="83">
        <f>SUM(V30-V47)</f>
        <v>1028497.2156222754</v>
      </c>
      <c r="W49" s="310">
        <f>SUM(W30-W47)</f>
        <v>1757647.4452746958</v>
      </c>
      <c r="X49" s="179"/>
      <c r="Y49" s="510">
        <f>SUM(Y30-Y47)</f>
        <v>-1083618.2</v>
      </c>
      <c r="Z49" s="96">
        <f>Z30-Z47</f>
        <v>-39230</v>
      </c>
      <c r="AA49" s="96">
        <f>AA30-AA47</f>
        <v>-39230</v>
      </c>
      <c r="AB49" s="96">
        <f>AB30-AB47</f>
        <v>-39230</v>
      </c>
      <c r="AC49" s="82">
        <f>AC30-AC47</f>
        <v>-117690</v>
      </c>
      <c r="AD49" s="82"/>
      <c r="AE49" s="96">
        <f>AE30-AE47</f>
        <v>-38258</v>
      </c>
      <c r="AF49" s="96">
        <f>AF30-AF47</f>
        <v>-38258</v>
      </c>
      <c r="AG49" s="96">
        <f>AG30-AG47</f>
        <v>-38258</v>
      </c>
      <c r="AH49" s="82">
        <f>AH30-AH47</f>
        <v>-114774</v>
      </c>
      <c r="AI49" s="82"/>
      <c r="AJ49" s="96">
        <f>AJ30-AJ47</f>
        <v>-8331.7097784951056</v>
      </c>
      <c r="AK49" s="96">
        <f>AK30-AK47</f>
        <v>-8090.979058946371</v>
      </c>
      <c r="AL49" s="96">
        <f>AL30-AL47</f>
        <v>-7889.8125415457644</v>
      </c>
      <c r="AM49" s="82">
        <f>AM30-AM47</f>
        <v>-24312.501378987239</v>
      </c>
      <c r="AN49" s="82"/>
      <c r="AO49" s="96">
        <f>AO30-AO47</f>
        <v>-5982.2347989306272</v>
      </c>
      <c r="AP49" s="96">
        <f>AP30-AP47</f>
        <v>-5628.9885149003785</v>
      </c>
      <c r="AQ49" s="96">
        <f>AQ30-AQ47</f>
        <v>-5335.3056607488525</v>
      </c>
      <c r="AR49" s="82">
        <f>AR30-AR47</f>
        <v>-16946.528974579858</v>
      </c>
      <c r="AS49" s="82"/>
      <c r="AT49" s="96">
        <f>AT30-AT47</f>
        <v>-9723.5478932108017</v>
      </c>
      <c r="AU49" s="96">
        <f>AU30-AU47</f>
        <v>-9269.7838085736294</v>
      </c>
      <c r="AV49" s="96">
        <f>AV30-AV47</f>
        <v>-8890.7624391125464</v>
      </c>
      <c r="AW49" s="82">
        <f>AW30-AW47</f>
        <v>-27884.094140896977</v>
      </c>
      <c r="AX49" s="82"/>
      <c r="AY49" s="96">
        <f>AY30-AY47</f>
        <v>-7924.0862019513843</v>
      </c>
      <c r="AZ49" s="96">
        <f>AZ30-AZ47</f>
        <v>-7460.8422135907203</v>
      </c>
      <c r="BA49" s="96">
        <f>BA30-BA47</f>
        <v>-7072.5458569554357</v>
      </c>
      <c r="BB49" s="82">
        <f>BB30-BB47</f>
        <v>-22457.474272497537</v>
      </c>
      <c r="BC49" s="82"/>
      <c r="BD49" s="96">
        <f>BD30-BD47</f>
        <v>-5963.6635590827264</v>
      </c>
      <c r="BE49" s="96">
        <f>BE30-BE47</f>
        <v>-5465.1748979442218</v>
      </c>
      <c r="BF49" s="96">
        <f>BF30-BF47</f>
        <v>-5045.8499451836469</v>
      </c>
      <c r="BG49" s="82">
        <f>BG30-BG47</f>
        <v>-16474.688402210595</v>
      </c>
      <c r="BH49" s="82"/>
      <c r="BI49" s="96">
        <f>BI30-BI47</f>
        <v>-3781.4465822564143</v>
      </c>
      <c r="BJ49" s="96">
        <f>BJ30-BJ47</f>
        <v>-3224.999270136148</v>
      </c>
      <c r="BK49" s="96">
        <f>BK30-BK47</f>
        <v>-2755.2405348936263</v>
      </c>
      <c r="BL49" s="82">
        <f>BL30-BL47</f>
        <v>-9761.6863872861941</v>
      </c>
      <c r="BM49" s="82"/>
      <c r="BN49" s="96">
        <f>BN30-BN47</f>
        <v>-3347.5405606361965</v>
      </c>
      <c r="BO49" s="96">
        <f>BO30-BO47</f>
        <v>-2648.2290049851435</v>
      </c>
      <c r="BP49" s="96">
        <f>BP30-BP47</f>
        <v>-2052.98901048056</v>
      </c>
      <c r="BQ49" s="82">
        <f>BQ30-BQ47</f>
        <v>-8048.7585761019</v>
      </c>
      <c r="BR49" s="82"/>
      <c r="BS49" s="96">
        <f>BS30-BS47</f>
        <v>-3487.2825988686636</v>
      </c>
      <c r="BT49" s="96">
        <f>BT30-BT47</f>
        <v>-2624.0919686279631</v>
      </c>
      <c r="BU49" s="96">
        <f>BU30-BU47</f>
        <v>-1883.3434806733567</v>
      </c>
      <c r="BV49" s="82">
        <f>BV30-BV47</f>
        <v>-7994.7180481699907</v>
      </c>
      <c r="BW49" s="82"/>
      <c r="BX49" s="96">
        <f>BX30-BX47</f>
        <v>-5181.1713183740321</v>
      </c>
      <c r="BY49" s="96">
        <f>BY30-BY47</f>
        <v>-4128.2900166260333</v>
      </c>
      <c r="BZ49" s="96">
        <f>BZ30-BZ47</f>
        <v>-3217.41349615746</v>
      </c>
      <c r="CA49" s="82">
        <f>CA30-CA47</f>
        <v>-12526.874831157518</v>
      </c>
      <c r="CB49" s="82"/>
      <c r="CC49" s="96">
        <f>CC30-CC47</f>
        <v>-6296.1234215313743</v>
      </c>
      <c r="CD49" s="96">
        <f>CD30-CD47</f>
        <v>-5022.5416243267537</v>
      </c>
      <c r="CE49" s="96">
        <f>CE30-CE47</f>
        <v>-3911.839614296332</v>
      </c>
      <c r="CF49" s="83">
        <f>CF30-CF47</f>
        <v>-15230.50466015446</v>
      </c>
      <c r="CG49" s="310"/>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15"/>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58"/>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15"/>
      <c r="B54" s="200"/>
      <c r="C54" s="200"/>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53" t="s">
        <v>52</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48"/>
      <c r="E56" s="17"/>
      <c r="F56" s="23"/>
      <c r="G56" s="23"/>
      <c r="H56" s="23"/>
      <c r="I56" s="23"/>
      <c r="J56" s="353" t="s">
        <v>52</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53" t="s">
        <v>52</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53"/>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53"/>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59"/>
      <c r="C60" s="12"/>
      <c r="D60" s="19"/>
      <c r="E60" s="12"/>
      <c r="F60" s="23"/>
      <c r="G60" s="23"/>
      <c r="H60" s="23"/>
      <c r="I60" s="23"/>
      <c r="J60" s="353"/>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59"/>
      <c r="C61" s="12"/>
      <c r="D61" s="19"/>
      <c r="E61" s="12"/>
      <c r="F61" s="23"/>
      <c r="G61" s="23"/>
      <c r="H61" s="23"/>
      <c r="I61" s="23"/>
      <c r="J61" s="353"/>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53" t="s">
        <v>52</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51"/>
      <c r="G63" s="351"/>
      <c r="H63" s="351"/>
      <c r="I63" s="351"/>
      <c r="J63" s="352" t="s">
        <v>52</v>
      </c>
      <c r="K63" s="26"/>
      <c r="L63" s="26"/>
      <c r="M63" s="26"/>
      <c r="N63" s="26"/>
      <c r="O63" s="26"/>
      <c r="P63" s="26"/>
      <c r="Q63" s="26"/>
      <c r="R63" s="26"/>
      <c r="S63" s="26"/>
      <c r="T63" s="26"/>
      <c r="U63" s="26"/>
      <c r="V63" s="26"/>
      <c r="W63" s="26"/>
      <c r="X63" s="26"/>
      <c r="Y63" s="26"/>
      <c r="Z63" s="12"/>
      <c r="AA63" s="13"/>
      <c r="AB63" s="13"/>
      <c r="AC63" s="13"/>
      <c r="AD63" s="111"/>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59"/>
      <c r="C64" s="12"/>
      <c r="D64" s="19"/>
      <c r="E64" s="12"/>
      <c r="F64" s="351"/>
      <c r="G64" s="351"/>
      <c r="H64" s="351"/>
      <c r="I64" s="351"/>
      <c r="J64" s="352"/>
      <c r="K64" s="26"/>
      <c r="L64" s="26"/>
      <c r="M64" s="26"/>
      <c r="N64" s="26"/>
      <c r="O64" s="26"/>
      <c r="P64" s="26"/>
      <c r="Q64" s="26"/>
      <c r="R64" s="26"/>
      <c r="S64" s="26"/>
      <c r="T64" s="26"/>
      <c r="U64" s="26"/>
      <c r="V64" s="26"/>
      <c r="W64" s="26"/>
      <c r="X64" s="26"/>
      <c r="Y64" s="26"/>
      <c r="Z64" s="12"/>
      <c r="AA64" s="13"/>
      <c r="AB64" s="13"/>
      <c r="AC64" s="13"/>
      <c r="AD64" s="111"/>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54" t="s">
        <v>52</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53" t="s">
        <v>52</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53" t="s">
        <v>52</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59"/>
      <c r="C68" s="12"/>
      <c r="D68" s="12"/>
      <c r="E68" s="12"/>
      <c r="F68" s="23"/>
      <c r="G68" s="23"/>
      <c r="H68" s="23"/>
      <c r="I68" s="23"/>
      <c r="J68" s="353"/>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52"/>
      <c r="K69" s="26"/>
      <c r="L69" s="26"/>
      <c r="M69" s="26"/>
      <c r="N69" s="26"/>
      <c r="O69" s="26"/>
      <c r="P69" s="26"/>
      <c r="Q69" s="26"/>
      <c r="R69" s="26"/>
      <c r="S69" s="26"/>
      <c r="T69" s="26"/>
      <c r="U69" s="26"/>
      <c r="V69" s="26"/>
      <c r="W69" s="26"/>
      <c r="X69" s="26"/>
      <c r="Y69" s="26"/>
      <c r="Z69" s="12"/>
      <c r="AA69" s="13"/>
      <c r="AB69" s="13"/>
      <c r="AC69" s="13"/>
      <c r="AD69" s="111"/>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52"/>
      <c r="K70" s="26"/>
      <c r="L70" s="26"/>
      <c r="M70" s="26"/>
      <c r="N70" s="26"/>
      <c r="O70" s="26"/>
      <c r="P70" s="26"/>
      <c r="Q70" s="26"/>
      <c r="R70" s="26"/>
      <c r="S70" s="26"/>
      <c r="T70" s="26"/>
      <c r="U70" s="26"/>
      <c r="V70" s="26"/>
      <c r="W70" s="26"/>
      <c r="X70" s="26"/>
      <c r="Y70" s="26"/>
      <c r="Z70" s="12"/>
      <c r="AA70" s="13"/>
      <c r="AB70" s="13"/>
      <c r="AC70" s="13"/>
      <c r="AD70" s="111"/>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199"/>
      <c r="B71" s="12"/>
      <c r="C71" s="12"/>
      <c r="D71" s="12"/>
      <c r="E71" s="12"/>
      <c r="F71" s="23"/>
      <c r="G71" s="23"/>
      <c r="H71" s="23"/>
      <c r="I71" s="23"/>
      <c r="J71" s="353" t="s">
        <v>52</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01"/>
      <c r="B72" s="14"/>
      <c r="C72" s="14"/>
      <c r="F72" s="27"/>
      <c r="G72" s="27"/>
      <c r="H72" s="27"/>
      <c r="I72" s="27"/>
      <c r="J72" s="354" t="s">
        <v>52</v>
      </c>
      <c r="K72" s="27"/>
      <c r="L72" s="27"/>
      <c r="M72" s="27"/>
      <c r="N72" s="27"/>
      <c r="O72" s="27"/>
      <c r="P72" s="27"/>
      <c r="Q72" s="27"/>
      <c r="R72" s="27"/>
      <c r="S72" s="27"/>
      <c r="T72" s="27"/>
      <c r="U72" s="27"/>
      <c r="V72" s="27"/>
      <c r="W72" s="27"/>
      <c r="X72" s="27"/>
      <c r="Y72" s="27"/>
    </row>
    <row r="73" spans="1:85" x14ac:dyDescent="0.2">
      <c r="A73" s="12"/>
      <c r="B73" s="12"/>
      <c r="C73" s="200"/>
      <c r="D73" s="8"/>
      <c r="E73" s="8"/>
      <c r="F73" s="27"/>
      <c r="G73" s="27"/>
      <c r="H73" s="27"/>
      <c r="I73" s="27"/>
      <c r="J73" s="354" t="s">
        <v>52</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54" t="s">
        <v>52</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54"/>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53" t="s">
        <v>52</v>
      </c>
      <c r="K76" s="28"/>
      <c r="L76" s="28"/>
      <c r="M76" s="28"/>
      <c r="N76" s="28"/>
      <c r="O76" s="28"/>
      <c r="P76" s="28"/>
      <c r="Q76" s="28"/>
      <c r="R76" s="28"/>
      <c r="S76" s="28"/>
      <c r="T76" s="28"/>
      <c r="U76" s="28"/>
      <c r="V76" s="28"/>
      <c r="W76" s="28"/>
      <c r="X76" s="28"/>
      <c r="Y76" s="28"/>
    </row>
    <row r="77" spans="1:85" s="9" customFormat="1" ht="11.25" customHeight="1" x14ac:dyDescent="0.15">
      <c r="A77" s="199"/>
      <c r="B77" s="12"/>
      <c r="C77" s="12"/>
      <c r="D77" s="12"/>
      <c r="E77" s="12"/>
      <c r="F77" s="24"/>
      <c r="G77" s="24"/>
      <c r="H77" s="24"/>
      <c r="I77" s="24"/>
      <c r="J77" s="353" t="s">
        <v>52</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52" t="s">
        <v>52</v>
      </c>
      <c r="K78" s="27"/>
      <c r="L78" s="27"/>
      <c r="M78" s="27"/>
      <c r="N78" s="27"/>
      <c r="O78" s="27"/>
      <c r="P78" s="27"/>
      <c r="Q78" s="27"/>
      <c r="R78" s="27"/>
      <c r="S78" s="27"/>
      <c r="T78" s="27"/>
      <c r="U78" s="27"/>
      <c r="V78" s="27"/>
      <c r="W78" s="27"/>
      <c r="X78" s="27"/>
      <c r="Y78" s="27"/>
    </row>
    <row r="79" spans="1:85" x14ac:dyDescent="0.2">
      <c r="F79" s="27"/>
      <c r="G79" s="27"/>
      <c r="H79" s="27"/>
      <c r="I79" s="27"/>
      <c r="J79" s="353" t="s">
        <v>52</v>
      </c>
      <c r="K79" s="27"/>
      <c r="L79" s="27"/>
      <c r="M79" s="27"/>
      <c r="N79" s="27"/>
      <c r="O79" s="27"/>
      <c r="P79" s="27"/>
      <c r="Q79" s="27"/>
      <c r="R79" s="27"/>
      <c r="S79" s="27"/>
      <c r="T79" s="27"/>
      <c r="U79" s="27"/>
      <c r="V79" s="27"/>
      <c r="W79" s="27"/>
      <c r="X79" s="27"/>
      <c r="Y79" s="27"/>
    </row>
    <row r="80" spans="1:85" x14ac:dyDescent="0.2">
      <c r="F80" s="29"/>
      <c r="G80" s="29"/>
      <c r="H80" s="29"/>
      <c r="I80" s="29"/>
      <c r="J80" s="353" t="s">
        <v>52</v>
      </c>
      <c r="K80" s="29"/>
      <c r="L80" s="29"/>
      <c r="M80" s="29"/>
      <c r="N80" s="29"/>
      <c r="O80" s="29"/>
      <c r="P80" s="29"/>
      <c r="Q80" s="29"/>
      <c r="R80" s="29"/>
      <c r="S80" s="29"/>
      <c r="T80" s="29"/>
      <c r="U80" s="29"/>
      <c r="V80" s="29"/>
      <c r="W80" s="29"/>
      <c r="X80" s="29"/>
      <c r="Y80" s="29"/>
    </row>
    <row r="81" spans="1:25" x14ac:dyDescent="0.2">
      <c r="F81" s="27"/>
      <c r="G81" s="27"/>
      <c r="H81" s="27"/>
      <c r="I81" s="27"/>
      <c r="J81" s="353" t="s">
        <v>52</v>
      </c>
      <c r="K81" s="27"/>
      <c r="L81" s="27"/>
      <c r="M81" s="27"/>
      <c r="N81" s="27"/>
      <c r="O81" s="27"/>
      <c r="P81" s="27"/>
      <c r="Q81" s="27"/>
      <c r="R81" s="27"/>
      <c r="S81" s="27"/>
      <c r="T81" s="27"/>
      <c r="U81" s="27"/>
      <c r="V81" s="27"/>
      <c r="W81" s="27"/>
      <c r="X81" s="27"/>
      <c r="Y81" s="27"/>
    </row>
    <row r="82" spans="1:25" x14ac:dyDescent="0.2">
      <c r="J82" s="353" t="s">
        <v>52</v>
      </c>
    </row>
    <row r="83" spans="1:25" x14ac:dyDescent="0.2">
      <c r="J83" s="353" t="s">
        <v>52</v>
      </c>
    </row>
    <row r="84" spans="1:25" x14ac:dyDescent="0.2">
      <c r="C84" s="3" t="s">
        <v>225</v>
      </c>
      <c r="J84" s="352" t="s">
        <v>52</v>
      </c>
      <c r="M84" s="3" t="s">
        <v>226</v>
      </c>
    </row>
    <row r="85" spans="1:25" x14ac:dyDescent="0.2">
      <c r="J85" s="353" t="s">
        <v>52</v>
      </c>
    </row>
    <row r="86" spans="1:25" x14ac:dyDescent="0.2">
      <c r="J86" s="353" t="s">
        <v>52</v>
      </c>
    </row>
    <row r="87" spans="1:25" x14ac:dyDescent="0.2">
      <c r="J87" s="353" t="s">
        <v>52</v>
      </c>
    </row>
    <row r="88" spans="1:25" x14ac:dyDescent="0.2">
      <c r="A88" s="3"/>
      <c r="D88" s="3"/>
      <c r="E88" s="3"/>
      <c r="J88" s="353" t="s">
        <v>52</v>
      </c>
    </row>
    <row r="89" spans="1:25" x14ac:dyDescent="0.2">
      <c r="J89" s="353" t="s">
        <v>52</v>
      </c>
    </row>
    <row r="90" spans="1:25" x14ac:dyDescent="0.2">
      <c r="J90" s="353" t="s">
        <v>52</v>
      </c>
    </row>
    <row r="91" spans="1:25" x14ac:dyDescent="0.2">
      <c r="J91" s="353" t="s">
        <v>52</v>
      </c>
    </row>
    <row r="92" spans="1:25" x14ac:dyDescent="0.2">
      <c r="J92" s="353" t="s">
        <v>52</v>
      </c>
    </row>
    <row r="93" spans="1:25" x14ac:dyDescent="0.2">
      <c r="J93" s="353" t="s">
        <v>52</v>
      </c>
    </row>
    <row r="94" spans="1:25" x14ac:dyDescent="0.2">
      <c r="F94" s="3"/>
      <c r="G94" s="3"/>
      <c r="H94" s="3"/>
      <c r="I94" s="3"/>
      <c r="J94" s="354" t="s">
        <v>52</v>
      </c>
      <c r="K94" s="3"/>
      <c r="L94" s="3"/>
      <c r="M94" s="3"/>
      <c r="N94" s="3"/>
      <c r="O94" s="3"/>
      <c r="P94" s="3"/>
      <c r="Q94" s="3"/>
      <c r="R94" s="3"/>
      <c r="S94" s="3"/>
      <c r="T94" s="3"/>
      <c r="U94" s="3"/>
      <c r="V94" s="3"/>
      <c r="W94" s="3"/>
      <c r="X94" s="4"/>
      <c r="Y94" s="3"/>
    </row>
    <row r="95" spans="1:25" x14ac:dyDescent="0.2">
      <c r="J95" s="354" t="s">
        <v>52</v>
      </c>
    </row>
    <row r="96" spans="1:25" x14ac:dyDescent="0.2">
      <c r="J96" s="354"/>
    </row>
    <row r="97" spans="3:28" x14ac:dyDescent="0.2">
      <c r="J97" s="354"/>
    </row>
    <row r="104" spans="3:28" ht="15" x14ac:dyDescent="0.25">
      <c r="D104" s="133"/>
      <c r="E104" s="133"/>
      <c r="F104" s="134"/>
      <c r="G104" s="135"/>
      <c r="H104" s="134"/>
      <c r="I104" s="133"/>
      <c r="J104" s="134"/>
      <c r="K104" s="133"/>
      <c r="L104" s="134"/>
      <c r="M104" s="133"/>
      <c r="N104" s="134"/>
      <c r="O104" s="133"/>
      <c r="P104" s="134"/>
      <c r="Q104"/>
      <c r="R104"/>
      <c r="S104"/>
      <c r="T104"/>
      <c r="U104"/>
      <c r="V104"/>
      <c r="W104"/>
      <c r="X104" s="166"/>
      <c r="Y104"/>
      <c r="Z104"/>
      <c r="AA104"/>
      <c r="AB104"/>
    </row>
    <row r="112" spans="3:28" x14ac:dyDescent="0.2">
      <c r="C112" s="3" t="s">
        <v>232</v>
      </c>
      <c r="M112" s="3"/>
    </row>
    <row r="178" spans="12:12" x14ac:dyDescent="0.2">
      <c r="L178" s="3" t="s">
        <v>235</v>
      </c>
    </row>
  </sheetData>
  <mergeCells count="12">
    <mergeCell ref="U2:W2"/>
    <mergeCell ref="D4:E4"/>
    <mergeCell ref="D29:E29"/>
    <mergeCell ref="A1:A2"/>
    <mergeCell ref="B1:C1"/>
    <mergeCell ref="D1:E1"/>
    <mergeCell ref="F1:I1"/>
    <mergeCell ref="K1:N1"/>
    <mergeCell ref="P1:S1"/>
    <mergeCell ref="B2:C2"/>
    <mergeCell ref="D2:E2"/>
    <mergeCell ref="B29:C29"/>
  </mergeCells>
  <conditionalFormatting sqref="F49:I49 K49:N49 P49:S49 Z49:AB49 AE49:AG49 AJ49:AL49 AO49:AQ49 AY49:BA49 BD49:BF49 BI49:BK49 BN49:BP49 BS49:BU49 BX49:BZ49 CC49:CE49">
    <cfRule type="cellIs" dxfId="11" priority="5" operator="lessThan">
      <formula>0</formula>
    </cfRule>
    <cfRule type="cellIs" dxfId="10" priority="6" operator="greaterThan">
      <formula>0</formula>
    </cfRule>
  </conditionalFormatting>
  <conditionalFormatting sqref="F49:I49 K49:N49 P49:S49 Z49:AB49 AE49:AG49 AJ49:AL49 AO49:AQ49 AY49:BA49 BD49:BF49 BI49:BK49 BN49:BP49 BS49:BU49 BX49:BZ49 CC49:CE49 AT49:AV49">
    <cfRule type="cellIs" dxfId="9" priority="3" operator="lessThan">
      <formula>0</formula>
    </cfRule>
    <cfRule type="cellIs" dxfId="8" priority="4" operator="greaterThan">
      <formula>0</formula>
    </cfRule>
  </conditionalFormatting>
  <conditionalFormatting sqref="U49:W49">
    <cfRule type="cellIs" dxfId="7" priority="1" operator="lessThan">
      <formula>0</formula>
    </cfRule>
    <cfRule type="cellIs" dxfId="6"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A57" sqref="A57"/>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34" t="s">
        <v>171</v>
      </c>
      <c r="B1" s="636" t="s">
        <v>172</v>
      </c>
      <c r="C1" s="637"/>
      <c r="D1" s="638" t="s">
        <v>150</v>
      </c>
      <c r="E1" s="639"/>
      <c r="F1" s="627" t="s">
        <v>212</v>
      </c>
      <c r="G1" s="628"/>
      <c r="H1" s="628"/>
      <c r="I1" s="629"/>
      <c r="J1" s="44">
        <v>2019</v>
      </c>
      <c r="K1" s="627" t="s">
        <v>213</v>
      </c>
      <c r="L1" s="628"/>
      <c r="M1" s="628"/>
      <c r="N1" s="629"/>
      <c r="O1" s="44">
        <v>2020</v>
      </c>
      <c r="P1" s="627" t="s">
        <v>253</v>
      </c>
      <c r="Q1" s="628"/>
      <c r="R1" s="628"/>
      <c r="S1" s="629"/>
      <c r="T1" s="94">
        <v>2021</v>
      </c>
      <c r="U1" s="164">
        <v>2022</v>
      </c>
      <c r="V1" s="44">
        <v>2023</v>
      </c>
      <c r="W1" s="165">
        <v>2024</v>
      </c>
      <c r="X1" s="170"/>
      <c r="Y1" s="511" t="s">
        <v>270</v>
      </c>
      <c r="Z1" s="38">
        <v>2019</v>
      </c>
      <c r="AA1" s="38">
        <v>2019</v>
      </c>
      <c r="AB1" s="38">
        <v>2019</v>
      </c>
      <c r="AC1" s="44" t="s">
        <v>11</v>
      </c>
      <c r="AD1" s="44" t="s">
        <v>11</v>
      </c>
      <c r="AE1" s="38">
        <v>2019</v>
      </c>
      <c r="AF1" s="38">
        <v>2019</v>
      </c>
      <c r="AG1" s="38">
        <v>2019</v>
      </c>
      <c r="AH1" s="44" t="s">
        <v>12</v>
      </c>
      <c r="AI1" s="44" t="s">
        <v>12</v>
      </c>
      <c r="AJ1" s="38">
        <v>2019</v>
      </c>
      <c r="AK1" s="38">
        <v>2019</v>
      </c>
      <c r="AL1" s="38">
        <v>2019</v>
      </c>
      <c r="AM1" s="44" t="s">
        <v>13</v>
      </c>
      <c r="AN1" s="44" t="s">
        <v>13</v>
      </c>
      <c r="AO1" s="38">
        <v>2019</v>
      </c>
      <c r="AP1" s="38">
        <v>2019</v>
      </c>
      <c r="AQ1" s="38">
        <v>2019</v>
      </c>
      <c r="AR1" s="44" t="s">
        <v>10</v>
      </c>
      <c r="AS1" s="44" t="s">
        <v>10</v>
      </c>
      <c r="AT1" s="38">
        <v>2020</v>
      </c>
      <c r="AU1" s="37">
        <v>2020</v>
      </c>
      <c r="AV1" s="37">
        <v>2020</v>
      </c>
      <c r="AW1" s="44" t="s">
        <v>9</v>
      </c>
      <c r="AX1" s="44" t="s">
        <v>9</v>
      </c>
      <c r="AY1" s="37">
        <v>2020</v>
      </c>
      <c r="AZ1" s="37">
        <v>2020</v>
      </c>
      <c r="BA1" s="37">
        <v>2020</v>
      </c>
      <c r="BB1" s="44" t="s">
        <v>8</v>
      </c>
      <c r="BC1" s="44" t="s">
        <v>8</v>
      </c>
      <c r="BD1" s="37">
        <v>2020</v>
      </c>
      <c r="BE1" s="37">
        <v>2020</v>
      </c>
      <c r="BF1" s="37">
        <v>2020</v>
      </c>
      <c r="BG1" s="44" t="s">
        <v>15</v>
      </c>
      <c r="BH1" s="44" t="s">
        <v>15</v>
      </c>
      <c r="BI1" s="39">
        <v>2020</v>
      </c>
      <c r="BJ1" s="39">
        <v>2020</v>
      </c>
      <c r="BK1" s="39">
        <v>2020</v>
      </c>
      <c r="BL1" s="44" t="s">
        <v>16</v>
      </c>
      <c r="BM1" s="44" t="s">
        <v>16</v>
      </c>
      <c r="BN1" s="39">
        <v>2021</v>
      </c>
      <c r="BO1" s="39">
        <v>2021</v>
      </c>
      <c r="BP1" s="39">
        <v>2021</v>
      </c>
      <c r="BQ1" s="44" t="s">
        <v>256</v>
      </c>
      <c r="BR1" s="44" t="s">
        <v>256</v>
      </c>
      <c r="BS1" s="39">
        <v>2021</v>
      </c>
      <c r="BT1" s="39">
        <v>2021</v>
      </c>
      <c r="BU1" s="39">
        <v>2021</v>
      </c>
      <c r="BV1" s="44" t="s">
        <v>257</v>
      </c>
      <c r="BW1" s="44" t="s">
        <v>257</v>
      </c>
      <c r="BX1" s="39">
        <v>2021</v>
      </c>
      <c r="BY1" s="39">
        <v>2021</v>
      </c>
      <c r="BZ1" s="39">
        <v>2021</v>
      </c>
      <c r="CA1" s="44" t="s">
        <v>258</v>
      </c>
      <c r="CB1" s="44" t="s">
        <v>258</v>
      </c>
      <c r="CC1" s="39">
        <v>2021</v>
      </c>
      <c r="CD1" s="39">
        <v>2021</v>
      </c>
      <c r="CE1" s="39">
        <v>2021</v>
      </c>
      <c r="CF1" s="44" t="s">
        <v>255</v>
      </c>
      <c r="CG1" s="44" t="s">
        <v>255</v>
      </c>
    </row>
    <row r="2" spans="1:175" s="2" customFormat="1" ht="10.5" customHeight="1" thickBot="1" x14ac:dyDescent="0.25">
      <c r="A2" s="635"/>
      <c r="B2" s="727" t="s">
        <v>243</v>
      </c>
      <c r="C2" s="728"/>
      <c r="D2" s="632" t="s">
        <v>173</v>
      </c>
      <c r="E2" s="633"/>
      <c r="F2" s="93" t="s">
        <v>53</v>
      </c>
      <c r="G2" s="90" t="s">
        <v>54</v>
      </c>
      <c r="H2" s="90" t="s">
        <v>6</v>
      </c>
      <c r="I2" s="91" t="s">
        <v>7</v>
      </c>
      <c r="J2" s="92" t="s">
        <v>214</v>
      </c>
      <c r="K2" s="93" t="s">
        <v>4</v>
      </c>
      <c r="L2" s="90" t="s">
        <v>5</v>
      </c>
      <c r="M2" s="90" t="s">
        <v>6</v>
      </c>
      <c r="N2" s="91" t="s">
        <v>7</v>
      </c>
      <c r="O2" s="92" t="s">
        <v>214</v>
      </c>
      <c r="P2" s="93" t="s">
        <v>4</v>
      </c>
      <c r="Q2" s="90" t="s">
        <v>5</v>
      </c>
      <c r="R2" s="90" t="s">
        <v>6</v>
      </c>
      <c r="S2" s="91" t="s">
        <v>7</v>
      </c>
      <c r="T2" s="156" t="s">
        <v>214</v>
      </c>
      <c r="U2" s="640" t="s">
        <v>254</v>
      </c>
      <c r="V2" s="641"/>
      <c r="W2" s="642"/>
      <c r="X2" s="171"/>
      <c r="Y2" s="513" t="s">
        <v>215</v>
      </c>
      <c r="Z2" s="47" t="s">
        <v>216</v>
      </c>
      <c r="AA2" s="48" t="s">
        <v>224</v>
      </c>
      <c r="AB2" s="48" t="s">
        <v>217</v>
      </c>
      <c r="AC2" s="49" t="s">
        <v>223</v>
      </c>
      <c r="AD2" s="49" t="s">
        <v>14</v>
      </c>
      <c r="AE2" s="48" t="s">
        <v>0</v>
      </c>
      <c r="AF2" s="48" t="s">
        <v>218</v>
      </c>
      <c r="AG2" s="48" t="s">
        <v>219</v>
      </c>
      <c r="AH2" s="49" t="s">
        <v>223</v>
      </c>
      <c r="AI2" s="49" t="s">
        <v>14</v>
      </c>
      <c r="AJ2" s="48" t="s">
        <v>220</v>
      </c>
      <c r="AK2" s="48" t="s">
        <v>1</v>
      </c>
      <c r="AL2" s="48" t="s">
        <v>2</v>
      </c>
      <c r="AM2" s="49" t="s">
        <v>223</v>
      </c>
      <c r="AN2" s="49" t="s">
        <v>14</v>
      </c>
      <c r="AO2" s="48" t="s">
        <v>221</v>
      </c>
      <c r="AP2" s="48" t="s">
        <v>3</v>
      </c>
      <c r="AQ2" s="48" t="s">
        <v>222</v>
      </c>
      <c r="AR2" s="49" t="s">
        <v>223</v>
      </c>
      <c r="AS2" s="49" t="s">
        <v>14</v>
      </c>
      <c r="AT2" s="47" t="s">
        <v>216</v>
      </c>
      <c r="AU2" s="48" t="s">
        <v>224</v>
      </c>
      <c r="AV2" s="48" t="s">
        <v>217</v>
      </c>
      <c r="AW2" s="49" t="s">
        <v>223</v>
      </c>
      <c r="AX2" s="49" t="s">
        <v>14</v>
      </c>
      <c r="AY2" s="48" t="s">
        <v>0</v>
      </c>
      <c r="AZ2" s="48" t="s">
        <v>218</v>
      </c>
      <c r="BA2" s="48" t="s">
        <v>219</v>
      </c>
      <c r="BB2" s="49" t="s">
        <v>223</v>
      </c>
      <c r="BC2" s="49" t="s">
        <v>14</v>
      </c>
      <c r="BD2" s="48" t="s">
        <v>220</v>
      </c>
      <c r="BE2" s="48" t="s">
        <v>1</v>
      </c>
      <c r="BF2" s="48" t="s">
        <v>2</v>
      </c>
      <c r="BG2" s="49" t="s">
        <v>223</v>
      </c>
      <c r="BH2" s="49" t="s">
        <v>14</v>
      </c>
      <c r="BI2" s="48" t="s">
        <v>221</v>
      </c>
      <c r="BJ2" s="48" t="s">
        <v>3</v>
      </c>
      <c r="BK2" s="48" t="s">
        <v>222</v>
      </c>
      <c r="BL2" s="49" t="s">
        <v>223</v>
      </c>
      <c r="BM2" s="49" t="s">
        <v>14</v>
      </c>
      <c r="BN2" s="47" t="s">
        <v>216</v>
      </c>
      <c r="BO2" s="48" t="s">
        <v>224</v>
      </c>
      <c r="BP2" s="48" t="s">
        <v>217</v>
      </c>
      <c r="BQ2" s="49" t="s">
        <v>223</v>
      </c>
      <c r="BR2" s="49" t="s">
        <v>14</v>
      </c>
      <c r="BS2" s="48" t="s">
        <v>0</v>
      </c>
      <c r="BT2" s="48" t="s">
        <v>218</v>
      </c>
      <c r="BU2" s="48" t="s">
        <v>219</v>
      </c>
      <c r="BV2" s="49" t="s">
        <v>223</v>
      </c>
      <c r="BW2" s="49" t="s">
        <v>14</v>
      </c>
      <c r="BX2" s="48" t="s">
        <v>220</v>
      </c>
      <c r="BY2" s="48" t="s">
        <v>1</v>
      </c>
      <c r="BZ2" s="48" t="s">
        <v>2</v>
      </c>
      <c r="CA2" s="49" t="s">
        <v>223</v>
      </c>
      <c r="CB2" s="49" t="s">
        <v>14</v>
      </c>
      <c r="CC2" s="48" t="s">
        <v>221</v>
      </c>
      <c r="CD2" s="48" t="s">
        <v>3</v>
      </c>
      <c r="CE2" s="48" t="s">
        <v>222</v>
      </c>
      <c r="CF2" s="49" t="s">
        <v>223</v>
      </c>
      <c r="CG2" s="49" t="s">
        <v>14</v>
      </c>
    </row>
    <row r="3" spans="1:175" s="34" customFormat="1" ht="10.5" customHeight="1" x14ac:dyDescent="0.15">
      <c r="A3" s="50" t="s">
        <v>174</v>
      </c>
      <c r="B3" s="287"/>
      <c r="C3" s="288"/>
      <c r="D3" s="287"/>
      <c r="E3" s="289"/>
      <c r="F3" s="227"/>
      <c r="G3" s="206"/>
      <c r="H3" s="206"/>
      <c r="I3" s="206"/>
      <c r="J3" s="248"/>
      <c r="K3" s="206"/>
      <c r="L3" s="206"/>
      <c r="M3" s="206"/>
      <c r="N3" s="206"/>
      <c r="O3" s="316"/>
      <c r="P3" s="206"/>
      <c r="Q3" s="206"/>
      <c r="R3" s="206"/>
      <c r="S3" s="206"/>
      <c r="T3" s="246"/>
      <c r="U3" s="247"/>
      <c r="V3" s="248"/>
      <c r="W3" s="249"/>
      <c r="X3" s="209"/>
      <c r="Y3" s="496"/>
      <c r="Z3" s="206"/>
      <c r="AA3" s="206"/>
      <c r="AB3" s="206"/>
      <c r="AC3" s="248"/>
      <c r="AD3" s="207"/>
      <c r="AE3" s="206"/>
      <c r="AF3" s="206"/>
      <c r="AG3" s="206"/>
      <c r="AH3" s="248"/>
      <c r="AI3" s="207"/>
      <c r="AJ3" s="206"/>
      <c r="AK3" s="206"/>
      <c r="AL3" s="206"/>
      <c r="AM3" s="248"/>
      <c r="AN3" s="207"/>
      <c r="AO3" s="206"/>
      <c r="AP3" s="206"/>
      <c r="AQ3" s="206"/>
      <c r="AR3" s="248"/>
      <c r="AS3" s="207"/>
      <c r="AT3" s="206"/>
      <c r="AU3" s="206"/>
      <c r="AV3" s="206"/>
      <c r="AW3" s="248"/>
      <c r="AX3" s="207"/>
      <c r="AY3" s="206"/>
      <c r="AZ3" s="206"/>
      <c r="BA3" s="206"/>
      <c r="BB3" s="248"/>
      <c r="BC3" s="207"/>
      <c r="BD3" s="206"/>
      <c r="BE3" s="206"/>
      <c r="BF3" s="206"/>
      <c r="BG3" s="248"/>
      <c r="BH3" s="207"/>
      <c r="BI3" s="206"/>
      <c r="BJ3" s="206"/>
      <c r="BK3" s="206"/>
      <c r="BL3" s="248"/>
      <c r="BM3" s="207"/>
      <c r="BN3" s="206"/>
      <c r="BO3" s="206"/>
      <c r="BP3" s="206"/>
      <c r="BQ3" s="248"/>
      <c r="BR3" s="207"/>
      <c r="BS3" s="206"/>
      <c r="BT3" s="206"/>
      <c r="BU3" s="206"/>
      <c r="BV3" s="248"/>
      <c r="BW3" s="207"/>
      <c r="BX3" s="206"/>
      <c r="BY3" s="206"/>
      <c r="BZ3" s="206"/>
      <c r="CA3" s="248"/>
      <c r="CB3" s="207"/>
      <c r="CC3" s="206"/>
      <c r="CD3" s="206"/>
      <c r="CE3" s="206"/>
      <c r="CF3" s="248"/>
      <c r="CG3" s="208"/>
    </row>
    <row r="4" spans="1:175" s="9" customFormat="1" ht="9.75" customHeight="1" x14ac:dyDescent="0.15">
      <c r="A4" s="51" t="s">
        <v>175</v>
      </c>
      <c r="B4" s="290">
        <f>B45</f>
        <v>0.3</v>
      </c>
      <c r="C4" s="291">
        <f>C45</f>
        <v>10000000</v>
      </c>
      <c r="D4" s="643" t="s">
        <v>210</v>
      </c>
      <c r="E4" s="644"/>
      <c r="F4" s="228">
        <f>SUM(1000/G44)</f>
        <v>200</v>
      </c>
      <c r="G4" s="98">
        <f>SUM((F45+F46)/G44)</f>
        <v>200</v>
      </c>
      <c r="H4" s="98">
        <f>SUM((G45+G46)/H44)</f>
        <v>3888.8888888888887</v>
      </c>
      <c r="I4" s="98">
        <f>SUM((H45+H46)/I44)</f>
        <v>3389.8305084745762</v>
      </c>
      <c r="J4" s="251">
        <f>SUM(F4+G4+H4+I4)*3</f>
        <v>23036.158192090395</v>
      </c>
      <c r="K4" s="35">
        <f>SUM((I45+I46)/K44)</f>
        <v>3573.5764135850563</v>
      </c>
      <c r="L4" s="35">
        <f>SUM((K45+K46)/L44)</f>
        <v>8955.1436804054647</v>
      </c>
      <c r="M4" s="35">
        <f>SUM((L45+L46)/M44)</f>
        <v>23582.957325235697</v>
      </c>
      <c r="N4" s="35">
        <f>SUM((M45+M46)/N44)</f>
        <v>64119.819730815507</v>
      </c>
      <c r="O4" s="251">
        <f>SUM(K4+L4+M4+N4)*3</f>
        <v>300694.49145012512</v>
      </c>
      <c r="P4" s="35">
        <f>SUM((N45+N46)/P44)</f>
        <v>160281.98557098274</v>
      </c>
      <c r="Q4" s="35">
        <f>SUM((P45+P46)/Q44)</f>
        <v>384249.06317873392</v>
      </c>
      <c r="R4" s="35">
        <f>SUM((Q45+Q46)/R44)</f>
        <v>940322.96714577125</v>
      </c>
      <c r="S4" s="35">
        <f>SUM((R45+R46)/S44)</f>
        <v>2201412.0924071767</v>
      </c>
      <c r="T4" s="315">
        <f>SUM(P4+Q4+R4+S4)*3</f>
        <v>11058798.324907996</v>
      </c>
      <c r="U4" s="250">
        <f>SUM(U45/U44)</f>
        <v>3999999.9999999972</v>
      </c>
      <c r="V4" s="251">
        <f>SUM(V45/V44)</f>
        <v>4081632.6530612214</v>
      </c>
      <c r="W4" s="252">
        <f>SUM(W45/W44)</f>
        <v>4166666.6666666628</v>
      </c>
      <c r="X4" s="173"/>
      <c r="Y4" s="490">
        <v>0</v>
      </c>
      <c r="Z4" s="35">
        <f>F4</f>
        <v>200</v>
      </c>
      <c r="AA4" s="35">
        <f>F4</f>
        <v>200</v>
      </c>
      <c r="AB4" s="35">
        <f>F4</f>
        <v>200</v>
      </c>
      <c r="AC4" s="251">
        <f>SUM(Z4:AB4)</f>
        <v>600</v>
      </c>
      <c r="AD4" s="43"/>
      <c r="AE4" s="35">
        <f>G4</f>
        <v>200</v>
      </c>
      <c r="AF4" s="35">
        <f>G4</f>
        <v>200</v>
      </c>
      <c r="AG4" s="35">
        <f>G4</f>
        <v>200</v>
      </c>
      <c r="AH4" s="251">
        <f>SUM(AE4:AG4)</f>
        <v>600</v>
      </c>
      <c r="AI4" s="43"/>
      <c r="AJ4" s="35">
        <f>H4</f>
        <v>3888.8888888888887</v>
      </c>
      <c r="AK4" s="35">
        <f>H4</f>
        <v>3888.8888888888887</v>
      </c>
      <c r="AL4" s="35">
        <f>H4</f>
        <v>3888.8888888888887</v>
      </c>
      <c r="AM4" s="251">
        <f>SUM(AJ4:AL4)</f>
        <v>11666.666666666666</v>
      </c>
      <c r="AN4" s="43"/>
      <c r="AO4" s="35">
        <f>I4</f>
        <v>3389.8305084745762</v>
      </c>
      <c r="AP4" s="35">
        <f>I4</f>
        <v>3389.8305084745762</v>
      </c>
      <c r="AQ4" s="35">
        <f>I4</f>
        <v>3389.8305084745762</v>
      </c>
      <c r="AR4" s="251">
        <f>SUM(AO4:AQ4)</f>
        <v>10169.491525423728</v>
      </c>
      <c r="AS4" s="43"/>
      <c r="AT4" s="35">
        <f>K4</f>
        <v>3573.5764135850563</v>
      </c>
      <c r="AU4" s="35">
        <f>K4</f>
        <v>3573.5764135850563</v>
      </c>
      <c r="AV4" s="35">
        <f>K4</f>
        <v>3573.5764135850563</v>
      </c>
      <c r="AW4" s="251">
        <f>SUM(AT4:AV4)</f>
        <v>10720.729240755169</v>
      </c>
      <c r="AX4" s="43"/>
      <c r="AY4" s="35">
        <f>L4</f>
        <v>8955.1436804054647</v>
      </c>
      <c r="AZ4" s="35">
        <f>L4</f>
        <v>8955.1436804054647</v>
      </c>
      <c r="BA4" s="35">
        <f>L4</f>
        <v>8955.1436804054647</v>
      </c>
      <c r="BB4" s="251">
        <f>SUM(AY4:BA4)</f>
        <v>26865.431041216394</v>
      </c>
      <c r="BC4" s="43"/>
      <c r="BD4" s="35">
        <f>M4</f>
        <v>23582.957325235697</v>
      </c>
      <c r="BE4" s="35">
        <f>M4</f>
        <v>23582.957325235697</v>
      </c>
      <c r="BF4" s="35">
        <f>M4</f>
        <v>23582.957325235697</v>
      </c>
      <c r="BG4" s="251">
        <f>SUM(BD4:BF4)</f>
        <v>70748.871975707094</v>
      </c>
      <c r="BH4" s="43"/>
      <c r="BI4" s="35">
        <f>N4</f>
        <v>64119.819730815507</v>
      </c>
      <c r="BJ4" s="35">
        <f>N4</f>
        <v>64119.819730815507</v>
      </c>
      <c r="BK4" s="35">
        <f>N4</f>
        <v>64119.819730815507</v>
      </c>
      <c r="BL4" s="251">
        <f>SUM(BI4:BK4)</f>
        <v>192359.45919244652</v>
      </c>
      <c r="BM4" s="43"/>
      <c r="BN4" s="35">
        <f>P4</f>
        <v>160281.98557098274</v>
      </c>
      <c r="BO4" s="35">
        <f>P4</f>
        <v>160281.98557098274</v>
      </c>
      <c r="BP4" s="35">
        <f>P4</f>
        <v>160281.98557098274</v>
      </c>
      <c r="BQ4" s="251">
        <f>SUM(BN4:BP4)</f>
        <v>480845.95671294822</v>
      </c>
      <c r="BR4" s="43"/>
      <c r="BS4" s="35">
        <f>Q4</f>
        <v>384249.06317873392</v>
      </c>
      <c r="BT4" s="35">
        <f>Q4</f>
        <v>384249.06317873392</v>
      </c>
      <c r="BU4" s="35">
        <f>Q4</f>
        <v>384249.06317873392</v>
      </c>
      <c r="BV4" s="251">
        <f>SUM(BS4:BU4)</f>
        <v>1152747.1895362018</v>
      </c>
      <c r="BW4" s="43"/>
      <c r="BX4" s="35">
        <f>R4</f>
        <v>940322.96714577125</v>
      </c>
      <c r="BY4" s="35">
        <f>R4</f>
        <v>940322.96714577125</v>
      </c>
      <c r="BZ4" s="35">
        <f>R4</f>
        <v>940322.96714577125</v>
      </c>
      <c r="CA4" s="251">
        <f>SUM(BX4:BZ4)</f>
        <v>2820968.9014373138</v>
      </c>
      <c r="CB4" s="43"/>
      <c r="CC4" s="35">
        <f>S4</f>
        <v>2201412.0924071767</v>
      </c>
      <c r="CD4" s="35">
        <f>S4</f>
        <v>2201412.0924071767</v>
      </c>
      <c r="CE4" s="35">
        <f>S4</f>
        <v>2201412.0924071767</v>
      </c>
      <c r="CF4" s="251">
        <f>SUM(CC4:CE4)</f>
        <v>6604236.2772215307</v>
      </c>
      <c r="CG4" s="109"/>
    </row>
    <row r="5" spans="1:175" s="9" customFormat="1" ht="9.75" customHeight="1" x14ac:dyDescent="0.15">
      <c r="A5" s="51" t="s">
        <v>176</v>
      </c>
      <c r="B5" s="364">
        <v>800</v>
      </c>
      <c r="C5" s="293">
        <v>0.08</v>
      </c>
      <c r="D5" s="124"/>
      <c r="E5" s="117"/>
      <c r="F5" s="125">
        <v>1500</v>
      </c>
      <c r="G5" s="127">
        <v>2000</v>
      </c>
      <c r="H5" s="35">
        <f>SUM((IF(ISBLANK(D5),B5,D5))+(G5)*(IF(ISBLANK(E5),(1+C5),(1+E5))))</f>
        <v>2960</v>
      </c>
      <c r="I5" s="35">
        <f>SUM((IF(ISBLANK(D5),B5,D5))+(H5)*(IF(ISBLANK(E5),(1+C5),(1+E5))))</f>
        <v>3996.8</v>
      </c>
      <c r="J5" s="251">
        <f>SUM(F5+G5+H5+I5)*3</f>
        <v>31370.399999999998</v>
      </c>
      <c r="K5" s="35">
        <f>SUM((IF(ISBLANK(D5),B5,D5))+(I5)*(IF(ISBLANK(E5),(1+C5),(1+E5))))</f>
        <v>5116.5440000000008</v>
      </c>
      <c r="L5" s="35">
        <f>SUM((IF(ISBLANK(D5),B5,D5))+(K5)*(IF(ISBLANK(E5),(1+C5),(1+E5))))</f>
        <v>6325.8675200000016</v>
      </c>
      <c r="M5" s="35">
        <f>SUM((IF(ISBLANK(D5),B5,D5))+(L5)*(IF(ISBLANK(E5),(1+C5),(1+E5))))</f>
        <v>7631.9369216000023</v>
      </c>
      <c r="N5" s="35">
        <f>SUM((IF(ISBLANK(D5),B5,D5))+(M5)*(IF(ISBLANK(E5),(1+C5),(1+E5))))</f>
        <v>9042.4918753280035</v>
      </c>
      <c r="O5" s="251">
        <f>SUM(K5+L5+M5+N5)*3</f>
        <v>84350.520950784019</v>
      </c>
      <c r="P5" s="35">
        <f>SUM((IF(ISBLANK(D5),B5,D5))+(N5)*(IF(ISBLANK(E5),(1+C5),(1+E5))))</f>
        <v>10565.891225354244</v>
      </c>
      <c r="Q5" s="35">
        <f>SUM((IF(ISBLANK(D5),B5,D5))+(P5)*(IF(ISBLANK(E5),(1+C5),(1+E5))))</f>
        <v>12211.162523382583</v>
      </c>
      <c r="R5" s="35">
        <f>SUM((IF(ISBLANK(D5),B5,D5))+(Q5)*(IF(ISBLANK(E5),(1+C5),(1+E5))))</f>
        <v>13988.05552525319</v>
      </c>
      <c r="S5" s="35">
        <f>SUM((IF(ISBLANK(D5),B5,D5))+(R5)*(IF(ISBLANK(E5),(1+C5),(1+E5))))</f>
        <v>15907.099967273447</v>
      </c>
      <c r="T5" s="315">
        <f>SUM(P5+Q5+R5+S5)*3</f>
        <v>158016.62772379041</v>
      </c>
      <c r="U5" s="250">
        <f>SUM((IF(ISBLANK(D5),B5,D5))+(S5)*(IF(ISBLANK(E5),(1+C5),(1+E5))))*12</f>
        <v>215756.01557586389</v>
      </c>
      <c r="V5" s="251">
        <f>SUM((IF(ISBLANK(D5),B5,D5))+(U5)*(IF(ISBLANK(E5),(1+C5),(1+E5))))</f>
        <v>233816.49682193302</v>
      </c>
      <c r="W5" s="252">
        <f>SUM((IF(ISBLANK(D5),B5,D5))+(V5)*(IF(ISBLANK(E5),(1+C5),(1+E5))))</f>
        <v>253321.81656768767</v>
      </c>
      <c r="X5" s="173"/>
      <c r="Y5" s="490">
        <v>2300</v>
      </c>
      <c r="Z5" s="35">
        <f t="shared" ref="Z5:Z7" si="0">F5</f>
        <v>1500</v>
      </c>
      <c r="AA5" s="35">
        <f t="shared" ref="AA5:AA7" si="1">F5</f>
        <v>1500</v>
      </c>
      <c r="AB5" s="35">
        <f t="shared" ref="AB5:AB7" si="2">F5</f>
        <v>1500</v>
      </c>
      <c r="AC5" s="251">
        <f>SUM(Z5:AB5)</f>
        <v>4500</v>
      </c>
      <c r="AD5" s="43"/>
      <c r="AE5" s="35">
        <f t="shared" ref="AE5:AE7" si="3">G5</f>
        <v>2000</v>
      </c>
      <c r="AF5" s="35">
        <f t="shared" ref="AF5:AF7" si="4">G5</f>
        <v>2000</v>
      </c>
      <c r="AG5" s="35">
        <f t="shared" ref="AG5:AG7" si="5">G5</f>
        <v>2000</v>
      </c>
      <c r="AH5" s="251">
        <f>SUM(AE5:AG5)</f>
        <v>6000</v>
      </c>
      <c r="AI5" s="43"/>
      <c r="AJ5" s="35">
        <f t="shared" ref="AJ5:AJ7" si="6">H5</f>
        <v>2960</v>
      </c>
      <c r="AK5" s="35">
        <f t="shared" ref="AK5:AK7" si="7">H5</f>
        <v>2960</v>
      </c>
      <c r="AL5" s="35">
        <f t="shared" ref="AL5:AL7" si="8">H5</f>
        <v>2960</v>
      </c>
      <c r="AM5" s="251">
        <f>SUM(AJ5:AL5)</f>
        <v>8880</v>
      </c>
      <c r="AN5" s="43"/>
      <c r="AO5" s="35">
        <f>I5</f>
        <v>3996.8</v>
      </c>
      <c r="AP5" s="35">
        <f>I5</f>
        <v>3996.8</v>
      </c>
      <c r="AQ5" s="35">
        <f>I5</f>
        <v>3996.8</v>
      </c>
      <c r="AR5" s="251">
        <f>SUM(AO5:AQ5)</f>
        <v>11990.400000000001</v>
      </c>
      <c r="AS5" s="43"/>
      <c r="AT5" s="35">
        <f>K5</f>
        <v>5116.5440000000008</v>
      </c>
      <c r="AU5" s="35">
        <f>K5</f>
        <v>5116.5440000000008</v>
      </c>
      <c r="AV5" s="35">
        <f>K5</f>
        <v>5116.5440000000008</v>
      </c>
      <c r="AW5" s="251">
        <f>SUM(AT5:AV5)</f>
        <v>15349.632000000001</v>
      </c>
      <c r="AX5" s="43"/>
      <c r="AY5" s="35">
        <f>L5</f>
        <v>6325.8675200000016</v>
      </c>
      <c r="AZ5" s="35">
        <f>L5</f>
        <v>6325.8675200000016</v>
      </c>
      <c r="BA5" s="35">
        <f>L5</f>
        <v>6325.8675200000016</v>
      </c>
      <c r="BB5" s="251">
        <f>SUM(AY5:BA5)</f>
        <v>18977.602560000007</v>
      </c>
      <c r="BC5" s="43"/>
      <c r="BD5" s="35">
        <f>M5</f>
        <v>7631.9369216000023</v>
      </c>
      <c r="BE5" s="35">
        <f>M5</f>
        <v>7631.9369216000023</v>
      </c>
      <c r="BF5" s="35">
        <f>M5</f>
        <v>7631.9369216000023</v>
      </c>
      <c r="BG5" s="251">
        <f>SUM(BD5:BF5)</f>
        <v>22895.810764800008</v>
      </c>
      <c r="BH5" s="43"/>
      <c r="BI5" s="35">
        <f>N5</f>
        <v>9042.4918753280035</v>
      </c>
      <c r="BJ5" s="35">
        <f>N5</f>
        <v>9042.4918753280035</v>
      </c>
      <c r="BK5" s="35">
        <f>N5</f>
        <v>9042.4918753280035</v>
      </c>
      <c r="BL5" s="251">
        <f>SUM(BI5:BK5)</f>
        <v>27127.475625984011</v>
      </c>
      <c r="BM5" s="43"/>
      <c r="BN5" s="35">
        <f>P5</f>
        <v>10565.891225354244</v>
      </c>
      <c r="BO5" s="35">
        <f>P5</f>
        <v>10565.891225354244</v>
      </c>
      <c r="BP5" s="35">
        <f>P5</f>
        <v>10565.891225354244</v>
      </c>
      <c r="BQ5" s="251">
        <f>SUM(BN5:BP5)</f>
        <v>31697.673676062732</v>
      </c>
      <c r="BR5" s="43"/>
      <c r="BS5" s="35">
        <f>Q5</f>
        <v>12211.162523382583</v>
      </c>
      <c r="BT5" s="35">
        <f>Q5</f>
        <v>12211.162523382583</v>
      </c>
      <c r="BU5" s="35">
        <f>Q5</f>
        <v>12211.162523382583</v>
      </c>
      <c r="BV5" s="251">
        <f>SUM(BS5:BU5)</f>
        <v>36633.48757014775</v>
      </c>
      <c r="BW5" s="43"/>
      <c r="BX5" s="35">
        <f>R5</f>
        <v>13988.05552525319</v>
      </c>
      <c r="BY5" s="35">
        <f>R5</f>
        <v>13988.05552525319</v>
      </c>
      <c r="BZ5" s="35">
        <f>R5</f>
        <v>13988.05552525319</v>
      </c>
      <c r="CA5" s="251">
        <f>SUM(BX5:BZ5)</f>
        <v>41964.166575759569</v>
      </c>
      <c r="CB5" s="43"/>
      <c r="CC5" s="35">
        <f>S5</f>
        <v>15907.099967273447</v>
      </c>
      <c r="CD5" s="35">
        <f>S5</f>
        <v>15907.099967273447</v>
      </c>
      <c r="CE5" s="35">
        <f>S5</f>
        <v>15907.099967273447</v>
      </c>
      <c r="CF5" s="251">
        <f>SUM(CC5:CE5)</f>
        <v>47721.299901820341</v>
      </c>
      <c r="CG5" s="109"/>
    </row>
    <row r="6" spans="1:175" s="9" customFormat="1" ht="9.75" customHeight="1" x14ac:dyDescent="0.15">
      <c r="A6" s="484" t="s">
        <v>177</v>
      </c>
      <c r="B6" s="480">
        <v>500</v>
      </c>
      <c r="C6" s="269">
        <v>0.05</v>
      </c>
      <c r="D6" s="125"/>
      <c r="E6" s="117"/>
      <c r="F6" s="125">
        <v>0</v>
      </c>
      <c r="G6" s="127">
        <v>100</v>
      </c>
      <c r="H6" s="35">
        <f>SUM(IF(ISBLANK(D6),B6,D6)+(G18*(IF(ISBLANK(E6),C6,E6))))</f>
        <v>755.95070764537581</v>
      </c>
      <c r="I6" s="35">
        <f>SUM(IF(ISBLANK(D6),B6,D6)+(H18*(IF(ISBLANK(E6),C6,E6))))</f>
        <v>2312.1511018527935</v>
      </c>
      <c r="J6" s="251">
        <f>SUM(F6+G6+H6+I6)*3</f>
        <v>9504.3054284945065</v>
      </c>
      <c r="K6" s="35">
        <f>SUM(IF(ISBLANK(D6),B6,D6)+(I18*(IF(ISBLANK(E6),C6,E6))))</f>
        <v>5212.5858932754627</v>
      </c>
      <c r="L6" s="35">
        <f>SUM(IF(ISBLANK(D6),B6,D6)+(K18*(IF(ISBLANK(E6),C6,E6))))</f>
        <v>10756.781716092502</v>
      </c>
      <c r="M6" s="35">
        <f>SUM(IF(ISBLANK(D6),B6,D6)+(L18*(IF(ISBLANK(E6),C6,E6))))</f>
        <v>21538.386434741857</v>
      </c>
      <c r="N6" s="35">
        <f>SUM(IF(ISBLANK(D6),B6,D6)+(M18*(IF(ISBLANK(E6),C6,E6))))</f>
        <v>42478.065344179391</v>
      </c>
      <c r="O6" s="251">
        <f>SUM(K6+L6+M6+N6)*3</f>
        <v>239957.45816486762</v>
      </c>
      <c r="P6" s="35">
        <f>SUM(IF(ISBLANK(D6),B6,D6)+(N18*(IF(ISBLANK(E6),C6,E6))))</f>
        <v>83963.752301659013</v>
      </c>
      <c r="Q6" s="35">
        <f>SUM(IF(ISBLANK(D6),B6,D6)+(P18*(IF(ISBLANK(E6),C6,E6))))</f>
        <v>166512.42053697209</v>
      </c>
      <c r="R6" s="35">
        <f>SUM(IF(ISBLANK(D6),B6,D6)+(Q18*(IF(ISBLANK(E6),C6,E6))))</f>
        <v>331568.18309411686</v>
      </c>
      <c r="S6" s="35">
        <f>SUM(IF(ISBLANK(D6),B6,D6)+(R18*(IF(ISBLANK(E6),C6,E6))))</f>
        <v>676336.30358376261</v>
      </c>
      <c r="T6" s="315">
        <f>SUM(P6+Q6+R6+S6)*3</f>
        <v>3775141.9785495317</v>
      </c>
      <c r="U6" s="250">
        <f>SUM(IF(ISBLANK(D6),B6,D6)+(S18*(IF(ISBLANK(E6),C6,E6))))*12</f>
        <v>16896444.935482107</v>
      </c>
      <c r="V6" s="251">
        <f>SUM(IF(ISBLANK(D6),B6,D6)+(U18*(IF(ISBLANK(E6),C6,E6))))*12</f>
        <v>51613568.726634324</v>
      </c>
      <c r="W6" s="252">
        <f>SUM(IF(ISBLANK(D6),B6,D6)+(V18*(IF(ISBLANK(E6),C6,E6))))*12</f>
        <v>128911865.96672478</v>
      </c>
      <c r="X6" s="173"/>
      <c r="Y6" s="490">
        <v>0</v>
      </c>
      <c r="Z6" s="35">
        <f t="shared" si="0"/>
        <v>0</v>
      </c>
      <c r="AA6" s="35">
        <f t="shared" si="1"/>
        <v>0</v>
      </c>
      <c r="AB6" s="35">
        <f t="shared" si="2"/>
        <v>0</v>
      </c>
      <c r="AC6" s="251">
        <f t="shared" ref="AC6:AC17" si="9">SUM(Z6:AB6)</f>
        <v>0</v>
      </c>
      <c r="AD6" s="43"/>
      <c r="AE6" s="35">
        <f t="shared" si="3"/>
        <v>100</v>
      </c>
      <c r="AF6" s="35">
        <f t="shared" si="4"/>
        <v>100</v>
      </c>
      <c r="AG6" s="35">
        <f t="shared" si="5"/>
        <v>100</v>
      </c>
      <c r="AH6" s="251">
        <f t="shared" ref="AH6:AH17" si="10">SUM(AE6:AG6)</f>
        <v>300</v>
      </c>
      <c r="AI6" s="43"/>
      <c r="AJ6" s="35">
        <f t="shared" si="6"/>
        <v>755.95070764537581</v>
      </c>
      <c r="AK6" s="35">
        <f t="shared" si="7"/>
        <v>755.95070764537581</v>
      </c>
      <c r="AL6" s="35">
        <f t="shared" si="8"/>
        <v>755.95070764537581</v>
      </c>
      <c r="AM6" s="251">
        <f t="shared" ref="AM6:AM17" si="11">SUM(AJ6:AL6)</f>
        <v>2267.8521229361277</v>
      </c>
      <c r="AN6" s="43"/>
      <c r="AO6" s="35">
        <f t="shared" ref="AO6:AO7" si="12">I6</f>
        <v>2312.1511018527935</v>
      </c>
      <c r="AP6" s="35">
        <f t="shared" ref="AP6:AP7" si="13">I6</f>
        <v>2312.1511018527935</v>
      </c>
      <c r="AQ6" s="35">
        <f t="shared" ref="AQ6:AQ7" si="14">I6</f>
        <v>2312.1511018527935</v>
      </c>
      <c r="AR6" s="251">
        <f t="shared" ref="AR6:AR17" si="15">SUM(AO6:AQ6)</f>
        <v>6936.4533055583806</v>
      </c>
      <c r="AS6" s="43"/>
      <c r="AT6" s="35">
        <f t="shared" ref="AT6:AT7" si="16">K6</f>
        <v>5212.5858932754627</v>
      </c>
      <c r="AU6" s="35">
        <f t="shared" ref="AU6:AU7" si="17">K6</f>
        <v>5212.5858932754627</v>
      </c>
      <c r="AV6" s="35">
        <f t="shared" ref="AV6:AV7" si="18">K6</f>
        <v>5212.5858932754627</v>
      </c>
      <c r="AW6" s="251">
        <f t="shared" ref="AW6:AW17" si="19">SUM(AT6:AV6)</f>
        <v>15637.757679826387</v>
      </c>
      <c r="AX6" s="43"/>
      <c r="AY6" s="35">
        <f t="shared" ref="AY6:AY7" si="20">L6</f>
        <v>10756.781716092502</v>
      </c>
      <c r="AZ6" s="35">
        <f t="shared" ref="AZ6:AZ7" si="21">L6</f>
        <v>10756.781716092502</v>
      </c>
      <c r="BA6" s="35">
        <f t="shared" ref="BA6:BA7" si="22">L6</f>
        <v>10756.781716092502</v>
      </c>
      <c r="BB6" s="251">
        <f t="shared" ref="BB6:BB17" si="23">SUM(AY6:BA6)</f>
        <v>32270.345148277505</v>
      </c>
      <c r="BC6" s="43"/>
      <c r="BD6" s="35">
        <f t="shared" ref="BD6:BD7" si="24">M6</f>
        <v>21538.386434741857</v>
      </c>
      <c r="BE6" s="35">
        <f t="shared" ref="BE6:BE7" si="25">M6</f>
        <v>21538.386434741857</v>
      </c>
      <c r="BF6" s="35">
        <f t="shared" ref="BF6:BF7" si="26">M6</f>
        <v>21538.386434741857</v>
      </c>
      <c r="BG6" s="251">
        <f t="shared" ref="BG6:BG17" si="27">SUM(BD6:BF6)</f>
        <v>64615.15930422557</v>
      </c>
      <c r="BH6" s="43"/>
      <c r="BI6" s="35">
        <f t="shared" ref="BI6:BI7" si="28">N6</f>
        <v>42478.065344179391</v>
      </c>
      <c r="BJ6" s="35">
        <f t="shared" ref="BJ6" si="29">N6</f>
        <v>42478.065344179391</v>
      </c>
      <c r="BK6" s="35">
        <f t="shared" ref="BK6:BK7" si="30">N6</f>
        <v>42478.065344179391</v>
      </c>
      <c r="BL6" s="251">
        <f t="shared" ref="BL6:BL8" si="31">SUM(BI6:BK6)</f>
        <v>127434.19603253817</v>
      </c>
      <c r="BM6" s="43"/>
      <c r="BN6" s="35">
        <f t="shared" ref="BN6:BN7" si="32">P6</f>
        <v>83963.752301659013</v>
      </c>
      <c r="BO6" s="35">
        <f t="shared" ref="BO6:BO7" si="33">P6</f>
        <v>83963.752301659013</v>
      </c>
      <c r="BP6" s="35">
        <f t="shared" ref="BP6:BP7" si="34">P6</f>
        <v>83963.752301659013</v>
      </c>
      <c r="BQ6" s="251">
        <f t="shared" ref="BQ6:BQ8" si="35">SUM(BN6:BP6)</f>
        <v>251891.25690497702</v>
      </c>
      <c r="BR6" s="43"/>
      <c r="BS6" s="35">
        <f t="shared" ref="BS6:BS7" si="36">Q6</f>
        <v>166512.42053697209</v>
      </c>
      <c r="BT6" s="35">
        <f t="shared" ref="BT6:BT7" si="37">Q6</f>
        <v>166512.42053697209</v>
      </c>
      <c r="BU6" s="35">
        <f t="shared" ref="BU6:BU7" si="38">Q6</f>
        <v>166512.42053697209</v>
      </c>
      <c r="BV6" s="251">
        <f t="shared" ref="BV6:BV8" si="39">SUM(BS6:BU6)</f>
        <v>499537.26161091623</v>
      </c>
      <c r="BW6" s="43"/>
      <c r="BX6" s="35">
        <f t="shared" ref="BX6:BX7" si="40">R6</f>
        <v>331568.18309411686</v>
      </c>
      <c r="BY6" s="35">
        <f t="shared" ref="BY6:BY7" si="41">R6</f>
        <v>331568.18309411686</v>
      </c>
      <c r="BZ6" s="35">
        <f t="shared" ref="BZ6" si="42">R6</f>
        <v>331568.18309411686</v>
      </c>
      <c r="CA6" s="251">
        <f t="shared" ref="CA6:CA7" si="43">SUM(BX6:BZ6)</f>
        <v>994704.54928235058</v>
      </c>
      <c r="CB6" s="43"/>
      <c r="CC6" s="35">
        <f t="shared" ref="CC6:CC7" si="44">S6</f>
        <v>676336.30358376261</v>
      </c>
      <c r="CD6" s="35">
        <f t="shared" ref="CD6:CD7" si="45">S6</f>
        <v>676336.30358376261</v>
      </c>
      <c r="CE6" s="35">
        <f t="shared" ref="CE6:CE7" si="46">S6</f>
        <v>676336.30358376261</v>
      </c>
      <c r="CF6" s="251">
        <f t="shared" ref="CF6:CF8" si="47">SUM(CC6:CE6)</f>
        <v>2029008.9107512878</v>
      </c>
      <c r="CG6" s="109"/>
    </row>
    <row r="7" spans="1:175" s="9" customFormat="1" ht="9.75" customHeight="1" x14ac:dyDescent="0.15">
      <c r="A7" s="51" t="s">
        <v>178</v>
      </c>
      <c r="B7" s="250">
        <v>100</v>
      </c>
      <c r="C7" s="269">
        <v>0.01</v>
      </c>
      <c r="D7" s="125"/>
      <c r="E7" s="117"/>
      <c r="F7" s="125">
        <v>0</v>
      </c>
      <c r="G7" s="127">
        <v>0</v>
      </c>
      <c r="H7" s="127">
        <v>0</v>
      </c>
      <c r="I7" s="127">
        <v>0</v>
      </c>
      <c r="J7" s="251">
        <f>SUM((F7+G7+H7+I7)*3)</f>
        <v>0</v>
      </c>
      <c r="K7" s="35">
        <f>SUM(IF(ISBLANK(D7),B7,D7)+(I18*(IF(ISBLANK(E7),C7,E7))))</f>
        <v>1042.5171786550927</v>
      </c>
      <c r="L7" s="35">
        <f>SUM(IF(ISBLANK(D7),B7,D7)+(K18*(IF(ISBLANK(E7),C7,E7))))</f>
        <v>2151.3563432185001</v>
      </c>
      <c r="M7" s="35">
        <f>SUM(IF(ISBLANK(D7),B7,D7)+(L18*(IF(ISBLANK(E7),C7,E7))))</f>
        <v>4307.6772869483711</v>
      </c>
      <c r="N7" s="35">
        <f>SUM(IF(ISBLANK(D7),B7,D7)+(M18*(IF(ISBLANK(E7),C7,E7))))</f>
        <v>8495.6130688358771</v>
      </c>
      <c r="O7" s="251">
        <f>SUM(K7+L7+M7+N7)*3</f>
        <v>47991.491632973521</v>
      </c>
      <c r="P7" s="35">
        <f>SUM(IF(ISBLANK(D7),B7,D7)+(N18*(IF(ISBLANK(E7),C7,E7))))</f>
        <v>16792.750460331801</v>
      </c>
      <c r="Q7" s="35">
        <f>SUM(IF(ISBLANK(D7),B7,D7)+(P18*(IF(ISBLANK(E7),C7,E7))))</f>
        <v>33302.484107394412</v>
      </c>
      <c r="R7" s="35">
        <f>SUM(IF(ISBLANK(D7),B7,D7)+(Q18*(IF(ISBLANK(E7),C7,E7))))</f>
        <v>66313.636618823366</v>
      </c>
      <c r="S7" s="35">
        <f>SUM(IF(ISBLANK(D7),B7,D7)+(R18*(IF(ISBLANK(E7),C7,E7))))</f>
        <v>135267.26071675253</v>
      </c>
      <c r="T7" s="315">
        <f>SUM(P7+Q7+R7+S7)*3</f>
        <v>755028.39570990624</v>
      </c>
      <c r="U7" s="250">
        <f>SUM(IF(ISBLANK(D7),B7,D7)+(S18*(IF(ISBLANK(E7),C7,E7))))*12</f>
        <v>3379288.9870964205</v>
      </c>
      <c r="V7" s="251">
        <f>SUM(IF(ISBLANK(D7),B7,D7)+(U18*(IF(ISBLANK(E7),C7,E7))))*12</f>
        <v>10322713.745326864</v>
      </c>
      <c r="W7" s="252">
        <f>SUM(IF(ISBLANK(D7),B7,D7)+(V18*(IF(ISBLANK(E7),C7,E7))))*12</f>
        <v>25782373.193344954</v>
      </c>
      <c r="X7" s="173"/>
      <c r="Y7" s="490">
        <v>0</v>
      </c>
      <c r="Z7" s="35">
        <f t="shared" si="0"/>
        <v>0</v>
      </c>
      <c r="AA7" s="35">
        <f t="shared" si="1"/>
        <v>0</v>
      </c>
      <c r="AB7" s="35">
        <f t="shared" si="2"/>
        <v>0</v>
      </c>
      <c r="AC7" s="251">
        <f t="shared" si="9"/>
        <v>0</v>
      </c>
      <c r="AD7" s="43"/>
      <c r="AE7" s="35">
        <f t="shared" si="3"/>
        <v>0</v>
      </c>
      <c r="AF7" s="35">
        <f t="shared" si="4"/>
        <v>0</v>
      </c>
      <c r="AG7" s="35">
        <f t="shared" si="5"/>
        <v>0</v>
      </c>
      <c r="AH7" s="251">
        <f t="shared" si="10"/>
        <v>0</v>
      </c>
      <c r="AI7" s="43"/>
      <c r="AJ7" s="35">
        <f t="shared" si="6"/>
        <v>0</v>
      </c>
      <c r="AK7" s="35">
        <f t="shared" si="7"/>
        <v>0</v>
      </c>
      <c r="AL7" s="35">
        <f t="shared" si="8"/>
        <v>0</v>
      </c>
      <c r="AM7" s="251">
        <f t="shared" si="11"/>
        <v>0</v>
      </c>
      <c r="AN7" s="43"/>
      <c r="AO7" s="35">
        <f t="shared" si="12"/>
        <v>0</v>
      </c>
      <c r="AP7" s="35">
        <f t="shared" si="13"/>
        <v>0</v>
      </c>
      <c r="AQ7" s="35">
        <f t="shared" si="14"/>
        <v>0</v>
      </c>
      <c r="AR7" s="251">
        <f t="shared" si="15"/>
        <v>0</v>
      </c>
      <c r="AS7" s="43"/>
      <c r="AT7" s="35">
        <f t="shared" si="16"/>
        <v>1042.5171786550927</v>
      </c>
      <c r="AU7" s="35">
        <f t="shared" si="17"/>
        <v>1042.5171786550927</v>
      </c>
      <c r="AV7" s="35">
        <f t="shared" si="18"/>
        <v>1042.5171786550927</v>
      </c>
      <c r="AW7" s="251">
        <f t="shared" si="19"/>
        <v>3127.5515359652782</v>
      </c>
      <c r="AX7" s="43"/>
      <c r="AY7" s="35">
        <f t="shared" si="20"/>
        <v>2151.3563432185001</v>
      </c>
      <c r="AZ7" s="35">
        <f t="shared" si="21"/>
        <v>2151.3563432185001</v>
      </c>
      <c r="BA7" s="35">
        <f t="shared" si="22"/>
        <v>2151.3563432185001</v>
      </c>
      <c r="BB7" s="251">
        <f t="shared" si="23"/>
        <v>6454.0690296555003</v>
      </c>
      <c r="BC7" s="43"/>
      <c r="BD7" s="35">
        <f t="shared" si="24"/>
        <v>4307.6772869483711</v>
      </c>
      <c r="BE7" s="35">
        <f t="shared" si="25"/>
        <v>4307.6772869483711</v>
      </c>
      <c r="BF7" s="35">
        <f t="shared" si="26"/>
        <v>4307.6772869483711</v>
      </c>
      <c r="BG7" s="251">
        <f t="shared" si="27"/>
        <v>12923.031860845113</v>
      </c>
      <c r="BH7" s="43"/>
      <c r="BI7" s="35">
        <f t="shared" si="28"/>
        <v>8495.6130688358771</v>
      </c>
      <c r="BJ7" s="35">
        <f>N7</f>
        <v>8495.6130688358771</v>
      </c>
      <c r="BK7" s="35">
        <f t="shared" si="30"/>
        <v>8495.6130688358771</v>
      </c>
      <c r="BL7" s="251">
        <f t="shared" si="31"/>
        <v>25486.839206507633</v>
      </c>
      <c r="BM7" s="43"/>
      <c r="BN7" s="35">
        <f t="shared" si="32"/>
        <v>16792.750460331801</v>
      </c>
      <c r="BO7" s="35">
        <f t="shared" si="33"/>
        <v>16792.750460331801</v>
      </c>
      <c r="BP7" s="35">
        <f t="shared" si="34"/>
        <v>16792.750460331801</v>
      </c>
      <c r="BQ7" s="251">
        <f t="shared" si="35"/>
        <v>50378.251380995403</v>
      </c>
      <c r="BR7" s="43"/>
      <c r="BS7" s="35">
        <f t="shared" si="36"/>
        <v>33302.484107394412</v>
      </c>
      <c r="BT7" s="35">
        <f t="shared" si="37"/>
        <v>33302.484107394412</v>
      </c>
      <c r="BU7" s="35">
        <f t="shared" si="38"/>
        <v>33302.484107394412</v>
      </c>
      <c r="BV7" s="251">
        <f t="shared" si="39"/>
        <v>99907.452322183235</v>
      </c>
      <c r="BW7" s="43"/>
      <c r="BX7" s="35">
        <f t="shared" si="40"/>
        <v>66313.636618823366</v>
      </c>
      <c r="BY7" s="35">
        <f t="shared" si="41"/>
        <v>66313.636618823366</v>
      </c>
      <c r="BZ7" s="35">
        <f>R7</f>
        <v>66313.636618823366</v>
      </c>
      <c r="CA7" s="251">
        <f t="shared" si="43"/>
        <v>198940.9098564701</v>
      </c>
      <c r="CB7" s="43"/>
      <c r="CC7" s="35">
        <f t="shared" si="44"/>
        <v>135267.26071675253</v>
      </c>
      <c r="CD7" s="35">
        <f t="shared" si="45"/>
        <v>135267.26071675253</v>
      </c>
      <c r="CE7" s="35">
        <f t="shared" si="46"/>
        <v>135267.26071675253</v>
      </c>
      <c r="CF7" s="251">
        <f t="shared" si="47"/>
        <v>405801.78215025761</v>
      </c>
      <c r="CG7" s="109"/>
    </row>
    <row r="8" spans="1:175" s="9" customFormat="1" ht="9.75" customHeight="1" thickBot="1" x14ac:dyDescent="0.2">
      <c r="A8" s="229" t="s">
        <v>179</v>
      </c>
      <c r="B8" s="294">
        <v>5000000</v>
      </c>
      <c r="C8" s="295">
        <v>300000000</v>
      </c>
      <c r="D8" s="230"/>
      <c r="E8" s="231"/>
      <c r="F8" s="232">
        <f>SUM(IF(((1-(Y18/(IF(ISBLANK(D8),B8,(IF(D8=0,9.99999999999999E+29,D8))))))*SUM(F4:F7))&lt;0,0,((1-(Y18/(IF(ISBLANK(D8),B8,(IF(D8=0,9.99999999999999E+29,D8))))))*SUM(F4:F7))))</f>
        <v>1699.49</v>
      </c>
      <c r="G8" s="233">
        <f>SUM(IF(((1-(F18/(IF(ISBLANK(D8),B8,(IF(D8=0,9.99999999999999E+29,D8))))))*SUM(G4:G7))&lt;0,0,((1-(F18/(IF(ISBLANK(D8),B8,(IF(D8=0,9.99999999999999E+29,D8))))))*SUM(G4:G7))))</f>
        <v>2299.0132015260306</v>
      </c>
      <c r="H8" s="233">
        <f>SUM(IF(((1-(G18/(IF(ISBLANK(D8),B8,(IF(D8=0,9.99999999999999E+29,D8))))))*SUM(H4:H7))&lt;0,0,((1-(G18/(IF(ISBLANK(D8),B8,(IF(D8=0,9.99999999999999E+29,D8))))))*SUM(H4:H7))))</f>
        <v>7597.0537402292148</v>
      </c>
      <c r="I8" s="233">
        <f>SUM(IF(((1-(H18/(IF(ISBLANK(D8),B8,(IF(D8=0,9.99999999999999E+29,D8))))))*SUM(I4:I7))&lt;0,0,((1-(H18/(IF(ISBLANK(D8),B8,(IF(D8=0,9.99999999999999E+29,D8))))))*SUM(I4:I7))))</f>
        <v>9628.4789792002321</v>
      </c>
      <c r="J8" s="255">
        <f t="shared" ref="J8" si="48">SUM(F8:I8)*3</f>
        <v>63672.107762866435</v>
      </c>
      <c r="K8" s="233">
        <f>SUM(IF(((1-(I18/(IF(ISBLANK(E8),C8,(IF(E8=0,9.99999999999999E+29,E8))))))*SUM(K4:K7))&lt;0,0,((1-(I18/(IF(ISBLANK(E8),C8,(IF(E8=0,9.99999999999999E+29,E8))))))*SUM(K4:K7))))</f>
        <v>14940.528108890967</v>
      </c>
      <c r="L8" s="233">
        <f>SUM(IF(((1-(K18/(IF(ISBLANK(E8),C8,(IF(E8=0,9.99999999999999E+29,E8))))))*SUM(L4:L7))&lt;0,0,((1-(K18/(IF(ISBLANK(E8),C8,(IF(E8=0,9.99999999999999E+29,E8))))))*SUM(L4:L7))))</f>
        <v>28169.873929668516</v>
      </c>
      <c r="M8" s="233">
        <f>SUM(IF(((1-(L18/(IF(ISBLANK(E8),C8,(IF(E8=0,9.99999999999999E+29,E8))))))*SUM(M4:M7))&lt;0,0,((1-(L18/(IF(ISBLANK(E8),C8,(IF(E8=0,9.99999999999999E+29,E8))))))*SUM(M4:M7))))</f>
        <v>56980.926602920699</v>
      </c>
      <c r="N8" s="233">
        <f>SUM(IF(((1-(M18/(IF(ISBLANK(E8),C8,(IF(E8=0,9.99999999999999E+29,E8))))))*SUM(N4:N7))&lt;0,0,((1-(M18/(IF(ISBLANK(E8),C8,(IF(E8=0,9.99999999999999E+29,E8))))))*SUM(N4:N7))))</f>
        <v>123788.5907724529</v>
      </c>
      <c r="O8" s="255">
        <f t="shared" ref="O8" si="49">SUM(K8:N8)*3</f>
        <v>671639.75824179919</v>
      </c>
      <c r="P8" s="233">
        <f>SUM(IF(((1-(N18/(IF(ISBLANK(E8),C8,(IF(E8=0,9.99999999999999E+29,E8))))))*SUM(P4:P7))&lt;0,0,((1-(N18/(IF(ISBLANK(E8),C8,(IF(E8=0,9.99999999999999E+29,E8))))))*SUM(P4:P7))))</f>
        <v>270093.10484769428</v>
      </c>
      <c r="Q8" s="233">
        <f>SUM(IF(((1-(P18/(IF(ISBLANK(E8),C8,(IF(E8=0,9.99999999999999E+29,E8))))))*SUM(Q4:Q7))&lt;0,0,((1-(P18/(IF(ISBLANK(E8),C8,(IF(E8=0,9.99999999999999E+29,E8))))))*SUM(Q4:Q7))))</f>
        <v>589675.85850016191</v>
      </c>
      <c r="R8" s="233">
        <f>SUM(IF(((1-(Q18/(IF(ISBLANK(E8),C8,(IF(E8=0,9.99999999999999E+29,E8))))))*SUM(R4:R7))&lt;0,0,((1-(Q18/(IF(ISBLANK(E8),C8,(IF(E8=0,9.99999999999999E+29,E8))))))*SUM(R4:R7))))</f>
        <v>1322348.3072159025</v>
      </c>
      <c r="S8" s="233">
        <f>SUM(IF(((1-(R18/(IF(ISBLANK(E8),C8,(IF(E8=0,9.99999999999999E+29,E8))))))*SUM(S4:S7))&lt;0,0,((1-(R18/(IF(ISBLANK(E8),C8,(IF(E8=0,9.99999999999999E+29,E8))))))*SUM(S4:S7))))</f>
        <v>2892452.3593608355</v>
      </c>
      <c r="T8" s="253">
        <f t="shared" ref="T8" si="50">SUM(P8:S8)*3</f>
        <v>15223708.889773782</v>
      </c>
      <c r="U8" s="254">
        <f>SUM(IF(((1-(T18/(IF(ISBLANK(E8),C8,(IF(E8=0,9.99999999999999E+29,E8))))))*SUM(U4:U7))&lt;0,0,((1-(T18/(IF(ISBLANK(E8),C8,(IF(E8=0,9.99999999999999E+29,E8))))))*SUM(U4:U7))))</f>
        <v>22193311.259330444</v>
      </c>
      <c r="V8" s="255">
        <f>SUM(IF(((1-(U18/(IF(ISBLANK(E8),C8,(IF(E8=0,9.99999999999999E+29,E8))))))*SUM(V4:V7))&lt;0,0,((1-(U18/(IF(ISBLANK(E8),C8,(IF(E8=0,9.99999999999999E+29,E8))))))*SUM(V4:V7))))</f>
        <v>47256782.772217318</v>
      </c>
      <c r="W8" s="256">
        <f>SUM(IF(((1-(V18/(IF(ISBLANK(E8),C8,(IF(E8=0,9.99999999999999E+29,E8))))))*SUM(W4:W7))&lt;0,0,((1-(V18/(IF(ISBLANK(E8),C8,(IF(E8=0,9.99999999999999E+29,E8))))))*SUM(W4:W7))))</f>
        <v>45165575.965600252</v>
      </c>
      <c r="X8" s="236"/>
      <c r="Y8" s="497">
        <f>SUM(Y4:Y7)</f>
        <v>2300</v>
      </c>
      <c r="Z8" s="233">
        <f>F8</f>
        <v>1699.49</v>
      </c>
      <c r="AA8" s="233">
        <f>F8</f>
        <v>1699.49</v>
      </c>
      <c r="AB8" s="233">
        <f>F8</f>
        <v>1699.49</v>
      </c>
      <c r="AC8" s="255">
        <f t="shared" si="9"/>
        <v>5098.47</v>
      </c>
      <c r="AD8" s="234"/>
      <c r="AE8" s="233">
        <f>G8</f>
        <v>2299.0132015260306</v>
      </c>
      <c r="AF8" s="233">
        <f>G8</f>
        <v>2299.0132015260306</v>
      </c>
      <c r="AG8" s="233">
        <f>G8</f>
        <v>2299.0132015260306</v>
      </c>
      <c r="AH8" s="255">
        <f t="shared" si="10"/>
        <v>6897.0396045780917</v>
      </c>
      <c r="AI8" s="234"/>
      <c r="AJ8" s="233">
        <f>H8</f>
        <v>7597.0537402292148</v>
      </c>
      <c r="AK8" s="233">
        <f>H8</f>
        <v>7597.0537402292148</v>
      </c>
      <c r="AL8" s="233">
        <f>H8</f>
        <v>7597.0537402292148</v>
      </c>
      <c r="AM8" s="255">
        <f t="shared" si="11"/>
        <v>22791.161220687645</v>
      </c>
      <c r="AN8" s="234"/>
      <c r="AO8" s="233">
        <f>I8</f>
        <v>9628.4789792002321</v>
      </c>
      <c r="AP8" s="233">
        <f>I8</f>
        <v>9628.4789792002321</v>
      </c>
      <c r="AQ8" s="233">
        <f>I8</f>
        <v>9628.4789792002321</v>
      </c>
      <c r="AR8" s="255">
        <f t="shared" si="15"/>
        <v>28885.436937600694</v>
      </c>
      <c r="AS8" s="234"/>
      <c r="AT8" s="233">
        <f>K8</f>
        <v>14940.528108890967</v>
      </c>
      <c r="AU8" s="233">
        <f>K8</f>
        <v>14940.528108890967</v>
      </c>
      <c r="AV8" s="233">
        <f>K8</f>
        <v>14940.528108890967</v>
      </c>
      <c r="AW8" s="255">
        <f t="shared" si="19"/>
        <v>44821.584326672899</v>
      </c>
      <c r="AX8" s="234"/>
      <c r="AY8" s="233">
        <f>L8</f>
        <v>28169.873929668516</v>
      </c>
      <c r="AZ8" s="233">
        <f>L8</f>
        <v>28169.873929668516</v>
      </c>
      <c r="BA8" s="233">
        <f>L8</f>
        <v>28169.873929668516</v>
      </c>
      <c r="BB8" s="255">
        <f t="shared" si="23"/>
        <v>84509.621789005556</v>
      </c>
      <c r="BC8" s="234"/>
      <c r="BD8" s="233">
        <f>M8</f>
        <v>56980.926602920699</v>
      </c>
      <c r="BE8" s="233">
        <f>M8</f>
        <v>56980.926602920699</v>
      </c>
      <c r="BF8" s="233">
        <f>M8</f>
        <v>56980.926602920699</v>
      </c>
      <c r="BG8" s="255">
        <f t="shared" si="27"/>
        <v>170942.7798087621</v>
      </c>
      <c r="BH8" s="234"/>
      <c r="BI8" s="233">
        <f>N8</f>
        <v>123788.5907724529</v>
      </c>
      <c r="BJ8" s="233">
        <f>N8</f>
        <v>123788.5907724529</v>
      </c>
      <c r="BK8" s="233">
        <f>N8</f>
        <v>123788.5907724529</v>
      </c>
      <c r="BL8" s="255">
        <f t="shared" si="31"/>
        <v>371365.7723173587</v>
      </c>
      <c r="BM8" s="234"/>
      <c r="BN8" s="233">
        <f>P8</f>
        <v>270093.10484769428</v>
      </c>
      <c r="BO8" s="233">
        <f>P8</f>
        <v>270093.10484769428</v>
      </c>
      <c r="BP8" s="233">
        <f>P8</f>
        <v>270093.10484769428</v>
      </c>
      <c r="BQ8" s="255">
        <f t="shared" si="35"/>
        <v>810279.31454308284</v>
      </c>
      <c r="BR8" s="234"/>
      <c r="BS8" s="233">
        <f>Q8</f>
        <v>589675.85850016191</v>
      </c>
      <c r="BT8" s="233">
        <f>Q8</f>
        <v>589675.85850016191</v>
      </c>
      <c r="BU8" s="233">
        <f>Q8</f>
        <v>589675.85850016191</v>
      </c>
      <c r="BV8" s="255">
        <f t="shared" si="39"/>
        <v>1769027.5755004857</v>
      </c>
      <c r="BW8" s="234"/>
      <c r="BX8" s="233">
        <f>R8</f>
        <v>1322348.3072159025</v>
      </c>
      <c r="BY8" s="233">
        <f>R8</f>
        <v>1322348.3072159025</v>
      </c>
      <c r="BZ8" s="233">
        <f>R8</f>
        <v>1322348.3072159025</v>
      </c>
      <c r="CA8" s="255">
        <f>SUM(BX8:BZ8)</f>
        <v>3967044.9216477075</v>
      </c>
      <c r="CB8" s="234"/>
      <c r="CC8" s="233">
        <f>S8</f>
        <v>2892452.3593608355</v>
      </c>
      <c r="CD8" s="233">
        <f>S8</f>
        <v>2892452.3593608355</v>
      </c>
      <c r="CE8" s="233">
        <f>S8</f>
        <v>2892452.3593608355</v>
      </c>
      <c r="CF8" s="255">
        <f t="shared" si="47"/>
        <v>8677357.0780825056</v>
      </c>
      <c r="CG8" s="235"/>
      <c r="CH8" s="110"/>
    </row>
    <row r="9" spans="1:175" s="10" customFormat="1" ht="9.75" customHeight="1" x14ac:dyDescent="0.15">
      <c r="A9" s="210" t="s">
        <v>180</v>
      </c>
      <c r="B9" s="365">
        <v>7.0000000000000007E-2</v>
      </c>
      <c r="C9" s="296">
        <v>-2E-3</v>
      </c>
      <c r="D9" s="211"/>
      <c r="E9" s="440"/>
      <c r="F9" s="446">
        <v>0.01</v>
      </c>
      <c r="G9" s="212">
        <v>0.03</v>
      </c>
      <c r="H9" s="213">
        <f>SUM(IF((0*(IF(ISBLANK(E9),C9,E9)))+(IF(ISBLANK(D9),B9,D9)) &lt; 0, 0, (0*(IF(ISBLANK(E9),C9,E9)))+(IF(ISBLANK(D9),B9,D9))))</f>
        <v>7.0000000000000007E-2</v>
      </c>
      <c r="I9" s="213">
        <f>SUM(IF((1*(IF(ISBLANK(E9),C9,E9)))+(IF(ISBLANK(D9),B9,D9)) &lt; 0, 0, (1*(IF(ISBLANK(E9),C9,E9)))+(IF(ISBLANK(D9),B9,D9))))</f>
        <v>6.8000000000000005E-2</v>
      </c>
      <c r="J9" s="258">
        <f>SUM(((1+F9)*(1+F9)*(1+F9)*(1+G9)*(1+G9)*(1+G9)*(1+H9)*(1+H9)*(1+H9)*(1+I9)*(1+I9)*(1+I9))-1)</f>
        <v>0.68012226292809275</v>
      </c>
      <c r="K9" s="213">
        <f>SUM(IF((2*(IF(ISBLANK(E9),C9,E9)))+(IF(ISBLANK(D9),B9,D9)) &lt; 0, 0, (2*(IF(ISBLANK(E9),C9,E9)))+(IF(ISBLANK(D9),B9,D9))))</f>
        <v>6.6000000000000003E-2</v>
      </c>
      <c r="L9" s="213">
        <f>SUM(IF((3*(IF(ISBLANK(E9),C9,E9)))+(IF(ISBLANK(D9),B9,D9)) &lt; 0, 0, (3*(IF(ISBLANK(E9),C9,E9)))+(IF(ISBLANK(D9),B9,D9))))</f>
        <v>6.4000000000000001E-2</v>
      </c>
      <c r="M9" s="213">
        <f>SUM(IF((4*(IF(ISBLANK(E9),C9,E9)))+(IF(ISBLANK(D9),B9,D9)) &lt; 0, 0, (4*(IF(ISBLANK(E9),C9,E9)))+(IF(ISBLANK(D9),B9,D9))))</f>
        <v>6.2000000000000006E-2</v>
      </c>
      <c r="N9" s="213">
        <f>SUM(IF((5*(IF(ISBLANK(E9),C9,E9)))+(IF(ISBLANK(D9),B9,D9)) &lt; 0, 0, (5*(IF(ISBLANK(E9),C9,E9)))+(IF(ISBLANK(D9),B9,D9))))</f>
        <v>6.0000000000000005E-2</v>
      </c>
      <c r="O9" s="258">
        <f>SUM(((1+K9)*(1+K9)*(1+K9)*(1+L9)*(1+L9)*(1+L9)*(1+M9)*(1+M9)*(1+M9)*(1+N9)*(1+N9)*(1+N9))-1)</f>
        <v>1.0815538182270799</v>
      </c>
      <c r="P9" s="213">
        <f>SUM(IF((6*(IF(ISBLANK(E9),C9,E9)))+(IF(ISBLANK(D9),B9,D9)) &lt; 0, 0, (6*(IF(ISBLANK(E9),C9,E9)))+(IF(ISBLANK(D9),B9,D9))))</f>
        <v>5.800000000000001E-2</v>
      </c>
      <c r="Q9" s="213">
        <f>SUM(IF((7*(IF(ISBLANK(E9),C9,E9)))+(IF(ISBLANK(D9),B9,D9)) &lt; 0, 0, (7*(IF(ISBLANK(E9),C9,E9)))+(IF(ISBLANK(D9),B9,D9))))</f>
        <v>5.6000000000000008E-2</v>
      </c>
      <c r="R9" s="213">
        <f>SUM(IF((8*(IF(ISBLANK(E9),C9,E9)))+(IF(ISBLANK(D9),B9,D9)) &lt; 0, 0, (8*(IF(ISBLANK(E9),C9,E9)))+(IF(ISBLANK(D9),B9,D9))))</f>
        <v>5.4000000000000006E-2</v>
      </c>
      <c r="S9" s="213">
        <f>SUM(IF((9*(IF(ISBLANK(E9),C9,E9)))+(IF(ISBLANK(D9),B9,D9)) &lt; 0, 0, (9*(IF(ISBLANK(E9),C9,E9)))+(IF(ISBLANK(D9),B9,D9))))</f>
        <v>5.2000000000000005E-2</v>
      </c>
      <c r="T9" s="259">
        <f>SUM(((1+P9)*(1+P9)*(1+P9)*(1+Q9)*(1+Q9)*(1+Q9)*(1+R9)*(1+R9)*(1+R9)*(1+S9)*(1+S9)*(1+S9))-1)</f>
        <v>0.90115624192709909</v>
      </c>
      <c r="U9" s="459">
        <f>SUM(IF((12*(IF(ISBLANK(E9),C9,E9)))+(IF(ISBLANK(D9),B9,D9)) &lt; 0, 0, (12*(IF(ISBLANK(E9),C9,E9)))+(IF(ISBLANK(D9),B9,D9))))*12</f>
        <v>0.55200000000000005</v>
      </c>
      <c r="V9" s="258">
        <f>SUM(IF((15*(IF(ISBLANK(E9),C9,E9)))+(IF(ISBLANK(D9),B9,D9)) &lt; 0, 0, (15*(IF(ISBLANK(E9),C9,E9)))+(IF(ISBLANK(D9),B9,D9))))*12</f>
        <v>0.48000000000000009</v>
      </c>
      <c r="W9" s="259">
        <f>SUM(IF((18*(IF(ISBLANK(E9),C9,E9)))+(IF(ISBLANK(D9),B9,D9)) &lt; 0, 0, (18*(IF(ISBLANK(E9),C9,E9)))+(IF(ISBLANK(D9),B9,D9))))*12</f>
        <v>0.40800000000000003</v>
      </c>
      <c r="X9" s="216"/>
      <c r="Y9" s="498">
        <v>0</v>
      </c>
      <c r="Z9" s="213">
        <f>F9</f>
        <v>0.01</v>
      </c>
      <c r="AA9" s="213">
        <f>F9</f>
        <v>0.01</v>
      </c>
      <c r="AB9" s="213">
        <f>F9</f>
        <v>0.01</v>
      </c>
      <c r="AC9" s="258">
        <f t="shared" si="9"/>
        <v>0.03</v>
      </c>
      <c r="AD9" s="214"/>
      <c r="AE9" s="213">
        <f>G9</f>
        <v>0.03</v>
      </c>
      <c r="AF9" s="213">
        <f>G9</f>
        <v>0.03</v>
      </c>
      <c r="AG9" s="213">
        <f>G9</f>
        <v>0.03</v>
      </c>
      <c r="AH9" s="258">
        <f t="shared" si="10"/>
        <v>0.09</v>
      </c>
      <c r="AI9" s="214"/>
      <c r="AJ9" s="213">
        <f>H9</f>
        <v>7.0000000000000007E-2</v>
      </c>
      <c r="AK9" s="213">
        <f>H9</f>
        <v>7.0000000000000007E-2</v>
      </c>
      <c r="AL9" s="213">
        <f>H9</f>
        <v>7.0000000000000007E-2</v>
      </c>
      <c r="AM9" s="258">
        <f t="shared" si="11"/>
        <v>0.21000000000000002</v>
      </c>
      <c r="AN9" s="214"/>
      <c r="AO9" s="213">
        <f>I9</f>
        <v>6.8000000000000005E-2</v>
      </c>
      <c r="AP9" s="213">
        <f>I9</f>
        <v>6.8000000000000005E-2</v>
      </c>
      <c r="AQ9" s="213">
        <f>I9</f>
        <v>6.8000000000000005E-2</v>
      </c>
      <c r="AR9" s="258">
        <f t="shared" si="15"/>
        <v>0.20400000000000001</v>
      </c>
      <c r="AS9" s="214"/>
      <c r="AT9" s="213">
        <f>K9</f>
        <v>6.6000000000000003E-2</v>
      </c>
      <c r="AU9" s="213">
        <f>K9</f>
        <v>6.6000000000000003E-2</v>
      </c>
      <c r="AV9" s="213">
        <f>K9</f>
        <v>6.6000000000000003E-2</v>
      </c>
      <c r="AW9" s="258">
        <f t="shared" si="19"/>
        <v>0.19800000000000001</v>
      </c>
      <c r="AX9" s="214"/>
      <c r="AY9" s="213">
        <f>L9</f>
        <v>6.4000000000000001E-2</v>
      </c>
      <c r="AZ9" s="213">
        <f>L9</f>
        <v>6.4000000000000001E-2</v>
      </c>
      <c r="BA9" s="213">
        <f>L9</f>
        <v>6.4000000000000001E-2</v>
      </c>
      <c r="BB9" s="258">
        <f t="shared" si="23"/>
        <v>0.192</v>
      </c>
      <c r="BC9" s="214"/>
      <c r="BD9" s="213">
        <f>M9</f>
        <v>6.2000000000000006E-2</v>
      </c>
      <c r="BE9" s="213">
        <f>M9</f>
        <v>6.2000000000000006E-2</v>
      </c>
      <c r="BF9" s="213">
        <f>M9</f>
        <v>6.2000000000000006E-2</v>
      </c>
      <c r="BG9" s="258">
        <f t="shared" si="27"/>
        <v>0.18600000000000003</v>
      </c>
      <c r="BH9" s="214"/>
      <c r="BI9" s="213">
        <f>N9</f>
        <v>6.0000000000000005E-2</v>
      </c>
      <c r="BJ9" s="213">
        <f>N9</f>
        <v>6.0000000000000005E-2</v>
      </c>
      <c r="BK9" s="213">
        <f>N9</f>
        <v>6.0000000000000005E-2</v>
      </c>
      <c r="BL9" s="258">
        <f t="shared" ref="BL9:BL15" si="51">SUM((BI9+BJ9+BK9))</f>
        <v>0.18000000000000002</v>
      </c>
      <c r="BM9" s="214"/>
      <c r="BN9" s="213">
        <f>P9</f>
        <v>5.800000000000001E-2</v>
      </c>
      <c r="BO9" s="213">
        <f>P9</f>
        <v>5.800000000000001E-2</v>
      </c>
      <c r="BP9" s="213">
        <f>P9</f>
        <v>5.800000000000001E-2</v>
      </c>
      <c r="BQ9" s="258">
        <f t="shared" ref="BQ9:BQ15" si="52">SUM((BN9+BO9+BP9))</f>
        <v>0.17400000000000004</v>
      </c>
      <c r="BR9" s="214"/>
      <c r="BS9" s="213">
        <f>Q9</f>
        <v>5.6000000000000008E-2</v>
      </c>
      <c r="BT9" s="213">
        <f>Q9</f>
        <v>5.6000000000000008E-2</v>
      </c>
      <c r="BU9" s="213">
        <f>Q9</f>
        <v>5.6000000000000008E-2</v>
      </c>
      <c r="BV9" s="258">
        <f t="shared" ref="BV9:BV15" si="53">SUM((BS9+BT9+BU9))</f>
        <v>0.16800000000000004</v>
      </c>
      <c r="BW9" s="214"/>
      <c r="BX9" s="213">
        <f>R9</f>
        <v>5.4000000000000006E-2</v>
      </c>
      <c r="BY9" s="213">
        <f>R9</f>
        <v>5.4000000000000006E-2</v>
      </c>
      <c r="BZ9" s="213">
        <f>R9</f>
        <v>5.4000000000000006E-2</v>
      </c>
      <c r="CA9" s="258">
        <f t="shared" ref="CA9:CA16" si="54">SUM((BX9+BY9+BZ9))</f>
        <v>0.16200000000000003</v>
      </c>
      <c r="CB9" s="214"/>
      <c r="CC9" s="213">
        <f>S9</f>
        <v>5.2000000000000005E-2</v>
      </c>
      <c r="CD9" s="213">
        <f>S9</f>
        <v>5.2000000000000005E-2</v>
      </c>
      <c r="CE9" s="213">
        <f>S9</f>
        <v>5.2000000000000005E-2</v>
      </c>
      <c r="CF9" s="258">
        <f t="shared" ref="CF9:CF16" si="55">SUM((CC9+CD9+CE9))</f>
        <v>0.15600000000000003</v>
      </c>
      <c r="CG9" s="215"/>
    </row>
    <row r="10" spans="1:175" s="10" customFormat="1" ht="9.75" customHeight="1" x14ac:dyDescent="0.15">
      <c r="A10" s="482" t="s">
        <v>181</v>
      </c>
      <c r="B10" s="270">
        <v>7.4999999999999997E-2</v>
      </c>
      <c r="C10" s="269">
        <v>-4.0000000000000001E-3</v>
      </c>
      <c r="D10" s="194"/>
      <c r="E10" s="441"/>
      <c r="F10" s="118">
        <v>0</v>
      </c>
      <c r="G10" s="126">
        <v>0.02</v>
      </c>
      <c r="H10" s="112">
        <f t="shared" ref="H10:H13" si="56">SUM(IF((0*(IF(ISBLANK(E10),C10,E10)))+(IF(ISBLANK(D10),B10,D10)) &lt; 0, 0, (0*(IF(ISBLANK(E10),C10,E10)))+(IF(ISBLANK(D10),B10,D10))))</f>
        <v>7.4999999999999997E-2</v>
      </c>
      <c r="I10" s="112">
        <f t="shared" ref="I10:I13" si="57">SUM(IF((1*(IF(ISBLANK(E10),C10,E10)))+(IF(ISBLANK(D10),B10,D10)) &lt; 0, 0, (1*(IF(ISBLANK(E10),C10,E10)))+(IF(ISBLANK(D10),B10,D10))))</f>
        <v>7.0999999999999994E-2</v>
      </c>
      <c r="J10" s="261">
        <f t="shared" ref="J10:J15" si="58">SUM(((1+F10)*(1+F10)*(1+F10)*(1+G10)*(1+G10)*(1+G10)*(1+H10)*(1+H10)*(1+H10)*(1+I10)*(1+I10)*(1+I10))-1)</f>
        <v>0.61954985123645234</v>
      </c>
      <c r="K10" s="112">
        <f t="shared" ref="K10:K13" si="59">SUM(IF((2*(IF(ISBLANK(E10),C10,E10)))+(IF(ISBLANK(D10),B10,D10)) &lt; 0, 0, (2*(IF(ISBLANK(E10),C10,E10)))+(IF(ISBLANK(D10),B10,D10))))</f>
        <v>6.7000000000000004E-2</v>
      </c>
      <c r="L10" s="112">
        <f t="shared" ref="L10:L13" si="60">SUM(IF((3*(IF(ISBLANK(E10),C10,E10)))+(IF(ISBLANK(D10),B10,D10)) &lt; 0, 0, (3*(IF(ISBLANK(E10),C10,E10)))+(IF(ISBLANK(D10),B10,D10))))</f>
        <v>6.3E-2</v>
      </c>
      <c r="M10" s="112">
        <f t="shared" ref="M10:M13" si="61">SUM(IF((4*(IF(ISBLANK(E10),C10,E10)))+(IF(ISBLANK(D10),B10,D10)) &lt; 0, 0, (4*(IF(ISBLANK(E10),C10,E10)))+(IF(ISBLANK(D10),B10,D10))))</f>
        <v>5.8999999999999997E-2</v>
      </c>
      <c r="N10" s="112">
        <f t="shared" ref="N10:N13" si="62">SUM(IF((5*(IF(ISBLANK(E10),C10,E10)))+(IF(ISBLANK(D10),B10,D10)) &lt; 0, 0, (5*(IF(ISBLANK(E10),C10,E10)))+(IF(ISBLANK(D10),B10,D10))))</f>
        <v>5.4999999999999993E-2</v>
      </c>
      <c r="O10" s="261">
        <f t="shared" ref="O10:O15" si="63">SUM(((1+K10)*(1+K10)*(1+K10)*(1+L10)*(1+L10)*(1+L10)*(1+M10)*(1+M10)*(1+M10)*(1+N10)*(1+N10)*(1+N10))-1)</f>
        <v>1.0348776936342774</v>
      </c>
      <c r="P10" s="112">
        <f t="shared" ref="P10:P13" si="64">SUM(IF((6*(IF(ISBLANK(E10),C10,E10)))+(IF(ISBLANK(D10),B10,D10)) &lt; 0, 0, (6*(IF(ISBLANK(E10),C10,E10)))+(IF(ISBLANK(D10),B10,D10))))</f>
        <v>5.0999999999999997E-2</v>
      </c>
      <c r="Q10" s="112">
        <f t="shared" ref="Q10:Q13" si="65">SUM(IF((7*(IF(ISBLANK(E10),C10,E10)))+(IF(ISBLANK(D10),B10,D10)) &lt; 0, 0, (7*(IF(ISBLANK(E10),C10,E10)))+(IF(ISBLANK(D10),B10,D10))))</f>
        <v>4.7E-2</v>
      </c>
      <c r="R10" s="112">
        <f t="shared" ref="R10:R13" si="66">SUM(IF((8*(IF(ISBLANK(E10),C10,E10)))+(IF(ISBLANK(D10),B10,D10)) &lt; 0, 0, (8*(IF(ISBLANK(E10),C10,E10)))+(IF(ISBLANK(D10),B10,D10))))</f>
        <v>4.2999999999999997E-2</v>
      </c>
      <c r="S10" s="112">
        <f t="shared" ref="S10:S13" si="67">SUM(IF((9*(IF(ISBLANK(E10),C10,E10)))+(IF(ISBLANK(D10),B10,D10)) &lt; 0, 0, (9*(IF(ISBLANK(E10),C10,E10)))+(IF(ISBLANK(D10),B10,D10))))</f>
        <v>3.8999999999999993E-2</v>
      </c>
      <c r="T10" s="262">
        <f t="shared" ref="T10:T15" si="68">SUM(((1+P10)*(1+P10)*(1+P10)*(1+Q10)*(1+Q10)*(1+Q10)*(1+R10)*(1+R10)*(1+R10)*(1+S10)*(1+S10)*(1+S10))-1)</f>
        <v>0.69569508387756018</v>
      </c>
      <c r="U10" s="460">
        <f>SUM(IF((12*(IF(ISBLANK(E10),C10,E10)))+(IF(ISBLANK(D10),B10,D10)) &lt; 0, 0, (12*(IF(ISBLANK(E10),C10,E10)))+(IF(ISBLANK(D10),B10,D10))))*12</f>
        <v>0.32399999999999995</v>
      </c>
      <c r="V10" s="261">
        <f>SUM(IF((15*(IF(ISBLANK(E10),C10,E10)))+(IF(ISBLANK(D10),B10,D10)) &lt; 0, 0, (15*(IF(ISBLANK(E10),C10,E10)))+(IF(ISBLANK(D10),B10,D10))))*12</f>
        <v>0.18</v>
      </c>
      <c r="W10" s="262">
        <f>SUM(IF((18*(IF(ISBLANK(E10),C10,E10)))+(IF(ISBLANK(D10),B10,D10)) &lt; 0, 0, (18*(IF(ISBLANK(E10),C10,E10)))+(IF(ISBLANK(D10),B10,D10))))*12</f>
        <v>3.5999999999999865E-2</v>
      </c>
      <c r="X10" s="174"/>
      <c r="Y10" s="499">
        <v>0</v>
      </c>
      <c r="Z10" s="112">
        <f t="shared" ref="Z10:Z13" si="69">F10</f>
        <v>0</v>
      </c>
      <c r="AA10" s="112">
        <f t="shared" ref="AA10:AA13" si="70">F10</f>
        <v>0</v>
      </c>
      <c r="AB10" s="112">
        <f t="shared" ref="AB10:AB13" si="71">F10</f>
        <v>0</v>
      </c>
      <c r="AC10" s="261">
        <f t="shared" si="9"/>
        <v>0</v>
      </c>
      <c r="AD10" s="114"/>
      <c r="AE10" s="112">
        <f t="shared" ref="AE10:AE13" si="72">G10</f>
        <v>0.02</v>
      </c>
      <c r="AF10" s="112">
        <f t="shared" ref="AF10:AF13" si="73">G10</f>
        <v>0.02</v>
      </c>
      <c r="AG10" s="112">
        <f t="shared" ref="AG10:AG13" si="74">G10</f>
        <v>0.02</v>
      </c>
      <c r="AH10" s="261">
        <f t="shared" si="10"/>
        <v>0.06</v>
      </c>
      <c r="AI10" s="114"/>
      <c r="AJ10" s="112">
        <f t="shared" ref="AJ10:AJ13" si="75">H10</f>
        <v>7.4999999999999997E-2</v>
      </c>
      <c r="AK10" s="112">
        <f t="shared" ref="AK10:AK13" si="76">H10</f>
        <v>7.4999999999999997E-2</v>
      </c>
      <c r="AL10" s="112">
        <f t="shared" ref="AL10:AL13" si="77">H10</f>
        <v>7.4999999999999997E-2</v>
      </c>
      <c r="AM10" s="261">
        <f t="shared" si="11"/>
        <v>0.22499999999999998</v>
      </c>
      <c r="AN10" s="114"/>
      <c r="AO10" s="112">
        <f t="shared" ref="AO10:AO13" si="78">I10</f>
        <v>7.0999999999999994E-2</v>
      </c>
      <c r="AP10" s="112">
        <f t="shared" ref="AP10:AP13" si="79">I10</f>
        <v>7.0999999999999994E-2</v>
      </c>
      <c r="AQ10" s="112">
        <f t="shared" ref="AQ10:AQ13" si="80">I10</f>
        <v>7.0999999999999994E-2</v>
      </c>
      <c r="AR10" s="261">
        <f t="shared" si="15"/>
        <v>0.21299999999999997</v>
      </c>
      <c r="AS10" s="114"/>
      <c r="AT10" s="112">
        <f t="shared" ref="AT10:AT13" si="81">K10</f>
        <v>6.7000000000000004E-2</v>
      </c>
      <c r="AU10" s="112">
        <f t="shared" ref="AU10:AU13" si="82">K10</f>
        <v>6.7000000000000004E-2</v>
      </c>
      <c r="AV10" s="112">
        <f t="shared" ref="AV10:AV13" si="83">K10</f>
        <v>6.7000000000000004E-2</v>
      </c>
      <c r="AW10" s="261">
        <f t="shared" si="19"/>
        <v>0.20100000000000001</v>
      </c>
      <c r="AX10" s="114"/>
      <c r="AY10" s="112">
        <f t="shared" ref="AY10:AY13" si="84">L10</f>
        <v>6.3E-2</v>
      </c>
      <c r="AZ10" s="112">
        <f t="shared" ref="AZ10:AZ13" si="85">L10</f>
        <v>6.3E-2</v>
      </c>
      <c r="BA10" s="112">
        <f t="shared" ref="BA10:BA13" si="86">L10</f>
        <v>6.3E-2</v>
      </c>
      <c r="BB10" s="261">
        <f t="shared" si="23"/>
        <v>0.189</v>
      </c>
      <c r="BC10" s="114"/>
      <c r="BD10" s="112">
        <f t="shared" ref="BD10:BD13" si="87">M10</f>
        <v>5.8999999999999997E-2</v>
      </c>
      <c r="BE10" s="112">
        <f t="shared" ref="BE10:BE13" si="88">M10</f>
        <v>5.8999999999999997E-2</v>
      </c>
      <c r="BF10" s="112">
        <f t="shared" ref="BF10:BF13" si="89">M10</f>
        <v>5.8999999999999997E-2</v>
      </c>
      <c r="BG10" s="261">
        <f t="shared" si="27"/>
        <v>0.17699999999999999</v>
      </c>
      <c r="BH10" s="114"/>
      <c r="BI10" s="112">
        <f t="shared" ref="BI10:BI13" si="90">N10</f>
        <v>5.4999999999999993E-2</v>
      </c>
      <c r="BJ10" s="112">
        <f t="shared" ref="BJ10:BJ13" si="91">N10</f>
        <v>5.4999999999999993E-2</v>
      </c>
      <c r="BK10" s="112">
        <f t="shared" ref="BK10:BK13" si="92">N10</f>
        <v>5.4999999999999993E-2</v>
      </c>
      <c r="BL10" s="261">
        <f t="shared" si="51"/>
        <v>0.16499999999999998</v>
      </c>
      <c r="BM10" s="114"/>
      <c r="BN10" s="112">
        <f t="shared" ref="BN10:BN13" si="93">P10</f>
        <v>5.0999999999999997E-2</v>
      </c>
      <c r="BO10" s="112">
        <f t="shared" ref="BO10:BO13" si="94">P10</f>
        <v>5.0999999999999997E-2</v>
      </c>
      <c r="BP10" s="112">
        <f t="shared" ref="BP10:BP13" si="95">P10</f>
        <v>5.0999999999999997E-2</v>
      </c>
      <c r="BQ10" s="261">
        <f t="shared" si="52"/>
        <v>0.153</v>
      </c>
      <c r="BR10" s="114"/>
      <c r="BS10" s="112">
        <f t="shared" ref="BS10:BS13" si="96">Q10</f>
        <v>4.7E-2</v>
      </c>
      <c r="BT10" s="112">
        <f t="shared" ref="BT10:BT13" si="97">Q10</f>
        <v>4.7E-2</v>
      </c>
      <c r="BU10" s="112">
        <f t="shared" ref="BU10:BU13" si="98">Q10</f>
        <v>4.7E-2</v>
      </c>
      <c r="BV10" s="261">
        <f t="shared" si="53"/>
        <v>0.14100000000000001</v>
      </c>
      <c r="BW10" s="114"/>
      <c r="BX10" s="112">
        <f t="shared" ref="BX10:BX13" si="99">R10</f>
        <v>4.2999999999999997E-2</v>
      </c>
      <c r="BY10" s="112">
        <f t="shared" ref="BY10:BY13" si="100">R10</f>
        <v>4.2999999999999997E-2</v>
      </c>
      <c r="BZ10" s="112">
        <f t="shared" ref="BZ10:BZ13" si="101">R10</f>
        <v>4.2999999999999997E-2</v>
      </c>
      <c r="CA10" s="261">
        <f t="shared" si="54"/>
        <v>0.129</v>
      </c>
      <c r="CB10" s="114"/>
      <c r="CC10" s="112">
        <f t="shared" ref="CC10:CC13" si="102">S10</f>
        <v>3.8999999999999993E-2</v>
      </c>
      <c r="CD10" s="112">
        <f t="shared" ref="CD10:CD13" si="103">S10</f>
        <v>3.8999999999999993E-2</v>
      </c>
      <c r="CE10" s="112">
        <f t="shared" ref="CE10:CE13" si="104">S10</f>
        <v>3.8999999999999993E-2</v>
      </c>
      <c r="CF10" s="261">
        <f t="shared" si="55"/>
        <v>0.11699999999999998</v>
      </c>
      <c r="CG10" s="113"/>
    </row>
    <row r="11" spans="1:175" s="10" customFormat="1" ht="9.75" customHeight="1" x14ac:dyDescent="0.15">
      <c r="A11" s="482" t="s">
        <v>183</v>
      </c>
      <c r="B11" s="270">
        <v>7.4999999999999997E-2</v>
      </c>
      <c r="C11" s="293">
        <v>-2E-3</v>
      </c>
      <c r="D11" s="194"/>
      <c r="E11" s="441"/>
      <c r="F11" s="118">
        <v>0</v>
      </c>
      <c r="G11" s="126">
        <v>0.02</v>
      </c>
      <c r="H11" s="112">
        <f t="shared" si="56"/>
        <v>7.4999999999999997E-2</v>
      </c>
      <c r="I11" s="112">
        <f t="shared" si="57"/>
        <v>7.2999999999999995E-2</v>
      </c>
      <c r="J11" s="261">
        <f t="shared" si="58"/>
        <v>0.62863991343975489</v>
      </c>
      <c r="K11" s="112">
        <f t="shared" si="59"/>
        <v>7.0999999999999994E-2</v>
      </c>
      <c r="L11" s="112">
        <f t="shared" si="60"/>
        <v>6.8999999999999992E-2</v>
      </c>
      <c r="M11" s="112">
        <f t="shared" si="61"/>
        <v>6.7000000000000004E-2</v>
      </c>
      <c r="N11" s="112">
        <f t="shared" si="62"/>
        <v>6.5000000000000002E-2</v>
      </c>
      <c r="O11" s="261">
        <f t="shared" si="63"/>
        <v>1.2021333277993596</v>
      </c>
      <c r="P11" s="112">
        <f t="shared" si="64"/>
        <v>6.3E-2</v>
      </c>
      <c r="Q11" s="112">
        <f t="shared" si="65"/>
        <v>6.0999999999999999E-2</v>
      </c>
      <c r="R11" s="112">
        <f t="shared" si="66"/>
        <v>5.8999999999999997E-2</v>
      </c>
      <c r="S11" s="112">
        <f t="shared" si="67"/>
        <v>5.6999999999999995E-2</v>
      </c>
      <c r="T11" s="262">
        <f t="shared" si="68"/>
        <v>1.0121427469258388</v>
      </c>
      <c r="U11" s="460">
        <f>SUM(IF((12*(IF(ISBLANK(E11),C11,E11)))+(IF(ISBLANK(D11),B11,D11)) &lt; 0, 0, (12*(IF(ISBLANK(E11),C11,E11)))+(IF(ISBLANK(D11),B11,D11))))*12</f>
        <v>0.61199999999999999</v>
      </c>
      <c r="V11" s="261">
        <f>SUM(IF((15*(IF(ISBLANK(E11),C11,E11)))+(IF(ISBLANK(D11),B11,D11)) &lt; 0, 0, (15*(IF(ISBLANK(E11),C11,E11)))+(IF(ISBLANK(D11),B11,D11))))*12</f>
        <v>0.54</v>
      </c>
      <c r="W11" s="262">
        <f>SUM(IF((18*(IF(ISBLANK(E11),C11,E11)))+(IF(ISBLANK(D11),B11,D11)) &lt; 0, 0, (18*(IF(ISBLANK(E11),C11,E11)))+(IF(ISBLANK(D11),B11,D11))))*12</f>
        <v>0.46799999999999992</v>
      </c>
      <c r="X11" s="174"/>
      <c r="Y11" s="499">
        <v>0</v>
      </c>
      <c r="Z11" s="112">
        <f t="shared" si="69"/>
        <v>0</v>
      </c>
      <c r="AA11" s="112">
        <f t="shared" si="70"/>
        <v>0</v>
      </c>
      <c r="AB11" s="112">
        <f t="shared" si="71"/>
        <v>0</v>
      </c>
      <c r="AC11" s="261">
        <f t="shared" si="9"/>
        <v>0</v>
      </c>
      <c r="AD11" s="114"/>
      <c r="AE11" s="112">
        <f t="shared" si="72"/>
        <v>0.02</v>
      </c>
      <c r="AF11" s="112">
        <f t="shared" si="73"/>
        <v>0.02</v>
      </c>
      <c r="AG11" s="112">
        <f t="shared" si="74"/>
        <v>0.02</v>
      </c>
      <c r="AH11" s="261">
        <f t="shared" si="10"/>
        <v>0.06</v>
      </c>
      <c r="AI11" s="114"/>
      <c r="AJ11" s="112">
        <f t="shared" si="75"/>
        <v>7.4999999999999997E-2</v>
      </c>
      <c r="AK11" s="112">
        <f t="shared" si="76"/>
        <v>7.4999999999999997E-2</v>
      </c>
      <c r="AL11" s="112">
        <f t="shared" si="77"/>
        <v>7.4999999999999997E-2</v>
      </c>
      <c r="AM11" s="261">
        <f t="shared" si="11"/>
        <v>0.22499999999999998</v>
      </c>
      <c r="AN11" s="114"/>
      <c r="AO11" s="112">
        <f t="shared" si="78"/>
        <v>7.2999999999999995E-2</v>
      </c>
      <c r="AP11" s="112">
        <f t="shared" si="79"/>
        <v>7.2999999999999995E-2</v>
      </c>
      <c r="AQ11" s="112">
        <f t="shared" si="80"/>
        <v>7.2999999999999995E-2</v>
      </c>
      <c r="AR11" s="261">
        <f t="shared" si="15"/>
        <v>0.21899999999999997</v>
      </c>
      <c r="AS11" s="114"/>
      <c r="AT11" s="112">
        <f t="shared" si="81"/>
        <v>7.0999999999999994E-2</v>
      </c>
      <c r="AU11" s="112">
        <f t="shared" si="82"/>
        <v>7.0999999999999994E-2</v>
      </c>
      <c r="AV11" s="112">
        <f t="shared" si="83"/>
        <v>7.0999999999999994E-2</v>
      </c>
      <c r="AW11" s="261">
        <f t="shared" si="19"/>
        <v>0.21299999999999997</v>
      </c>
      <c r="AX11" s="114"/>
      <c r="AY11" s="112">
        <f t="shared" si="84"/>
        <v>6.8999999999999992E-2</v>
      </c>
      <c r="AZ11" s="112">
        <f t="shared" si="85"/>
        <v>6.8999999999999992E-2</v>
      </c>
      <c r="BA11" s="112">
        <f t="shared" si="86"/>
        <v>6.8999999999999992E-2</v>
      </c>
      <c r="BB11" s="261">
        <f t="shared" si="23"/>
        <v>0.20699999999999996</v>
      </c>
      <c r="BC11" s="114"/>
      <c r="BD11" s="112">
        <f t="shared" si="87"/>
        <v>6.7000000000000004E-2</v>
      </c>
      <c r="BE11" s="112">
        <f t="shared" si="88"/>
        <v>6.7000000000000004E-2</v>
      </c>
      <c r="BF11" s="112">
        <f t="shared" si="89"/>
        <v>6.7000000000000004E-2</v>
      </c>
      <c r="BG11" s="261">
        <f t="shared" si="27"/>
        <v>0.20100000000000001</v>
      </c>
      <c r="BH11" s="114"/>
      <c r="BI11" s="112">
        <f t="shared" si="90"/>
        <v>6.5000000000000002E-2</v>
      </c>
      <c r="BJ11" s="112">
        <f t="shared" si="91"/>
        <v>6.5000000000000002E-2</v>
      </c>
      <c r="BK11" s="112">
        <f t="shared" si="92"/>
        <v>6.5000000000000002E-2</v>
      </c>
      <c r="BL11" s="261">
        <f t="shared" si="51"/>
        <v>0.19500000000000001</v>
      </c>
      <c r="BM11" s="114"/>
      <c r="BN11" s="112">
        <f t="shared" si="93"/>
        <v>6.3E-2</v>
      </c>
      <c r="BO11" s="112">
        <f t="shared" si="94"/>
        <v>6.3E-2</v>
      </c>
      <c r="BP11" s="112">
        <f t="shared" si="95"/>
        <v>6.3E-2</v>
      </c>
      <c r="BQ11" s="261">
        <f t="shared" si="52"/>
        <v>0.189</v>
      </c>
      <c r="BR11" s="114"/>
      <c r="BS11" s="112">
        <f t="shared" si="96"/>
        <v>6.0999999999999999E-2</v>
      </c>
      <c r="BT11" s="112">
        <f t="shared" si="97"/>
        <v>6.0999999999999999E-2</v>
      </c>
      <c r="BU11" s="112">
        <f t="shared" si="98"/>
        <v>6.0999999999999999E-2</v>
      </c>
      <c r="BV11" s="261">
        <f t="shared" si="53"/>
        <v>0.183</v>
      </c>
      <c r="BW11" s="114"/>
      <c r="BX11" s="112">
        <f t="shared" si="99"/>
        <v>5.8999999999999997E-2</v>
      </c>
      <c r="BY11" s="112">
        <f t="shared" si="100"/>
        <v>5.8999999999999997E-2</v>
      </c>
      <c r="BZ11" s="112">
        <f t="shared" si="101"/>
        <v>5.8999999999999997E-2</v>
      </c>
      <c r="CA11" s="261">
        <f t="shared" si="54"/>
        <v>0.17699999999999999</v>
      </c>
      <c r="CB11" s="114"/>
      <c r="CC11" s="112">
        <f t="shared" si="102"/>
        <v>5.6999999999999995E-2</v>
      </c>
      <c r="CD11" s="112">
        <f t="shared" si="103"/>
        <v>5.6999999999999995E-2</v>
      </c>
      <c r="CE11" s="112">
        <f t="shared" si="104"/>
        <v>5.6999999999999995E-2</v>
      </c>
      <c r="CF11" s="261">
        <f t="shared" si="55"/>
        <v>0.17099999999999999</v>
      </c>
      <c r="CG11" s="113"/>
    </row>
    <row r="12" spans="1:175" s="10" customFormat="1" ht="9.75" customHeight="1" x14ac:dyDescent="0.15">
      <c r="A12" s="482" t="s">
        <v>182</v>
      </c>
      <c r="B12" s="270">
        <v>7.4999999999999997E-2</v>
      </c>
      <c r="C12" s="269">
        <v>-0.01</v>
      </c>
      <c r="D12" s="194"/>
      <c r="E12" s="441"/>
      <c r="F12" s="118">
        <v>0</v>
      </c>
      <c r="G12" s="126">
        <v>0.05</v>
      </c>
      <c r="H12" s="112">
        <f t="shared" si="56"/>
        <v>7.4999999999999997E-2</v>
      </c>
      <c r="I12" s="112">
        <f t="shared" si="57"/>
        <v>6.5000000000000002E-2</v>
      </c>
      <c r="J12" s="261">
        <f t="shared" si="58"/>
        <v>0.73716917027690876</v>
      </c>
      <c r="K12" s="112">
        <f t="shared" si="59"/>
        <v>5.4999999999999993E-2</v>
      </c>
      <c r="L12" s="112">
        <f t="shared" si="60"/>
        <v>4.4999999999999998E-2</v>
      </c>
      <c r="M12" s="112">
        <f t="shared" si="61"/>
        <v>3.4999999999999996E-2</v>
      </c>
      <c r="N12" s="112">
        <f t="shared" si="62"/>
        <v>2.4999999999999994E-2</v>
      </c>
      <c r="O12" s="261">
        <f t="shared" si="63"/>
        <v>0.59992231502484472</v>
      </c>
      <c r="P12" s="112">
        <f t="shared" si="64"/>
        <v>1.4999999999999999E-2</v>
      </c>
      <c r="Q12" s="112">
        <f t="shared" si="65"/>
        <v>4.9999999999999906E-3</v>
      </c>
      <c r="R12" s="112">
        <f t="shared" si="66"/>
        <v>0</v>
      </c>
      <c r="S12" s="112">
        <f t="shared" si="67"/>
        <v>0</v>
      </c>
      <c r="T12" s="262">
        <f t="shared" si="68"/>
        <v>6.1442107212920982E-2</v>
      </c>
      <c r="U12" s="460">
        <f>SUM(IF((12*(IF(ISBLANK(E12),C12,E12)))+(IF(ISBLANK(D12),B12,D12)) &lt; 0, 0, (12*(IF(ISBLANK(E12),C12,E12)))+(IF(ISBLANK(D12),B12,D12))))*12</f>
        <v>0</v>
      </c>
      <c r="V12" s="261">
        <f>SUM(IF((15*(IF(ISBLANK(E12),C12,E12)))+(IF(ISBLANK(D12),B12,D12)) &lt; 0, 0, (15*(IF(ISBLANK(E12),C12,E12)))+(IF(ISBLANK(D12),B12,D12))))*12</f>
        <v>0</v>
      </c>
      <c r="W12" s="262">
        <f>SUM(IF((18*(IF(ISBLANK(E12),C12,E12)))+(IF(ISBLANK(D12),B12,D12)) &lt; 0, 0, (18*(IF(ISBLANK(E12),C12,E12)))+(IF(ISBLANK(D12),B12,D12))))*12</f>
        <v>0</v>
      </c>
      <c r="X12" s="174"/>
      <c r="Y12" s="499">
        <v>0</v>
      </c>
      <c r="Z12" s="112">
        <f t="shared" si="69"/>
        <v>0</v>
      </c>
      <c r="AA12" s="112">
        <f t="shared" si="70"/>
        <v>0</v>
      </c>
      <c r="AB12" s="112">
        <f t="shared" si="71"/>
        <v>0</v>
      </c>
      <c r="AC12" s="261">
        <f t="shared" si="9"/>
        <v>0</v>
      </c>
      <c r="AD12" s="114"/>
      <c r="AE12" s="112">
        <f t="shared" si="72"/>
        <v>0.05</v>
      </c>
      <c r="AF12" s="112">
        <f t="shared" si="73"/>
        <v>0.05</v>
      </c>
      <c r="AG12" s="112">
        <f t="shared" si="74"/>
        <v>0.05</v>
      </c>
      <c r="AH12" s="261">
        <f t="shared" si="10"/>
        <v>0.15000000000000002</v>
      </c>
      <c r="AI12" s="114"/>
      <c r="AJ12" s="112">
        <f t="shared" si="75"/>
        <v>7.4999999999999997E-2</v>
      </c>
      <c r="AK12" s="112">
        <f t="shared" si="76"/>
        <v>7.4999999999999997E-2</v>
      </c>
      <c r="AL12" s="112">
        <f t="shared" si="77"/>
        <v>7.4999999999999997E-2</v>
      </c>
      <c r="AM12" s="261">
        <f t="shared" si="11"/>
        <v>0.22499999999999998</v>
      </c>
      <c r="AN12" s="114"/>
      <c r="AO12" s="112">
        <f t="shared" si="78"/>
        <v>6.5000000000000002E-2</v>
      </c>
      <c r="AP12" s="112">
        <f t="shared" si="79"/>
        <v>6.5000000000000002E-2</v>
      </c>
      <c r="AQ12" s="112">
        <f t="shared" si="80"/>
        <v>6.5000000000000002E-2</v>
      </c>
      <c r="AR12" s="261">
        <f t="shared" si="15"/>
        <v>0.19500000000000001</v>
      </c>
      <c r="AS12" s="114"/>
      <c r="AT12" s="112">
        <f t="shared" si="81"/>
        <v>5.4999999999999993E-2</v>
      </c>
      <c r="AU12" s="112">
        <f t="shared" si="82"/>
        <v>5.4999999999999993E-2</v>
      </c>
      <c r="AV12" s="112">
        <f t="shared" si="83"/>
        <v>5.4999999999999993E-2</v>
      </c>
      <c r="AW12" s="261">
        <f t="shared" si="19"/>
        <v>0.16499999999999998</v>
      </c>
      <c r="AX12" s="114"/>
      <c r="AY12" s="112">
        <f t="shared" si="84"/>
        <v>4.4999999999999998E-2</v>
      </c>
      <c r="AZ12" s="112">
        <f t="shared" si="85"/>
        <v>4.4999999999999998E-2</v>
      </c>
      <c r="BA12" s="112">
        <f t="shared" si="86"/>
        <v>4.4999999999999998E-2</v>
      </c>
      <c r="BB12" s="261">
        <f t="shared" si="23"/>
        <v>0.13500000000000001</v>
      </c>
      <c r="BC12" s="114"/>
      <c r="BD12" s="112">
        <f t="shared" si="87"/>
        <v>3.4999999999999996E-2</v>
      </c>
      <c r="BE12" s="112">
        <f t="shared" si="88"/>
        <v>3.4999999999999996E-2</v>
      </c>
      <c r="BF12" s="112">
        <f t="shared" si="89"/>
        <v>3.4999999999999996E-2</v>
      </c>
      <c r="BG12" s="261">
        <f t="shared" si="27"/>
        <v>0.10499999999999998</v>
      </c>
      <c r="BH12" s="114"/>
      <c r="BI12" s="112">
        <f t="shared" si="90"/>
        <v>2.4999999999999994E-2</v>
      </c>
      <c r="BJ12" s="112">
        <f t="shared" si="91"/>
        <v>2.4999999999999994E-2</v>
      </c>
      <c r="BK12" s="112">
        <f t="shared" si="92"/>
        <v>2.4999999999999994E-2</v>
      </c>
      <c r="BL12" s="261">
        <f t="shared" si="51"/>
        <v>7.4999999999999983E-2</v>
      </c>
      <c r="BM12" s="114"/>
      <c r="BN12" s="112">
        <f t="shared" si="93"/>
        <v>1.4999999999999999E-2</v>
      </c>
      <c r="BO12" s="112">
        <f t="shared" si="94"/>
        <v>1.4999999999999999E-2</v>
      </c>
      <c r="BP12" s="112">
        <f t="shared" si="95"/>
        <v>1.4999999999999999E-2</v>
      </c>
      <c r="BQ12" s="261">
        <f t="shared" si="52"/>
        <v>4.4999999999999998E-2</v>
      </c>
      <c r="BR12" s="114"/>
      <c r="BS12" s="112">
        <f t="shared" si="96"/>
        <v>4.9999999999999906E-3</v>
      </c>
      <c r="BT12" s="112">
        <f t="shared" si="97"/>
        <v>4.9999999999999906E-3</v>
      </c>
      <c r="BU12" s="112">
        <f t="shared" si="98"/>
        <v>4.9999999999999906E-3</v>
      </c>
      <c r="BV12" s="261">
        <f t="shared" si="53"/>
        <v>1.4999999999999972E-2</v>
      </c>
      <c r="BW12" s="114"/>
      <c r="BX12" s="112">
        <f t="shared" si="99"/>
        <v>0</v>
      </c>
      <c r="BY12" s="112">
        <f t="shared" si="100"/>
        <v>0</v>
      </c>
      <c r="BZ12" s="112">
        <f t="shared" si="101"/>
        <v>0</v>
      </c>
      <c r="CA12" s="261">
        <f t="shared" si="54"/>
        <v>0</v>
      </c>
      <c r="CB12" s="114"/>
      <c r="CC12" s="112">
        <f t="shared" si="102"/>
        <v>0</v>
      </c>
      <c r="CD12" s="112">
        <f t="shared" si="103"/>
        <v>0</v>
      </c>
      <c r="CE12" s="112">
        <f t="shared" si="104"/>
        <v>0</v>
      </c>
      <c r="CF12" s="261">
        <f t="shared" si="55"/>
        <v>0</v>
      </c>
      <c r="CG12" s="113"/>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row>
    <row r="13" spans="1:175" s="10" customFormat="1" ht="9.75" customHeight="1" thickBot="1" x14ac:dyDescent="0.2">
      <c r="A13" s="483" t="s">
        <v>184</v>
      </c>
      <c r="B13" s="366">
        <v>0.05</v>
      </c>
      <c r="C13" s="373">
        <v>-5.0000000000000001E-3</v>
      </c>
      <c r="D13" s="244"/>
      <c r="E13" s="442"/>
      <c r="F13" s="447">
        <v>0</v>
      </c>
      <c r="G13" s="245">
        <v>0</v>
      </c>
      <c r="H13" s="217">
        <f t="shared" si="56"/>
        <v>0.05</v>
      </c>
      <c r="I13" s="217">
        <f t="shared" si="57"/>
        <v>4.5000000000000005E-2</v>
      </c>
      <c r="J13" s="264">
        <f t="shared" si="58"/>
        <v>0.32104243545312494</v>
      </c>
      <c r="K13" s="217">
        <f t="shared" si="59"/>
        <v>0.04</v>
      </c>
      <c r="L13" s="217">
        <f t="shared" si="60"/>
        <v>3.5000000000000003E-2</v>
      </c>
      <c r="M13" s="217">
        <f t="shared" si="61"/>
        <v>3.0000000000000002E-2</v>
      </c>
      <c r="N13" s="217">
        <f t="shared" si="62"/>
        <v>2.5000000000000001E-2</v>
      </c>
      <c r="O13" s="264">
        <f t="shared" si="63"/>
        <v>0.46758862703724624</v>
      </c>
      <c r="P13" s="217">
        <f t="shared" si="64"/>
        <v>2.0000000000000004E-2</v>
      </c>
      <c r="Q13" s="217">
        <f t="shared" si="65"/>
        <v>1.4999999999999999E-2</v>
      </c>
      <c r="R13" s="217">
        <f t="shared" si="66"/>
        <v>1.0000000000000002E-2</v>
      </c>
      <c r="S13" s="217">
        <f t="shared" si="67"/>
        <v>5.0000000000000044E-3</v>
      </c>
      <c r="T13" s="265">
        <f t="shared" si="68"/>
        <v>0.16054223105011522</v>
      </c>
      <c r="U13" s="461">
        <f>SUM(IF((12*(IF(ISBLANK(E13),C13,E13)))+(IF(ISBLANK(D13),B13,D13)) &lt; 0, 0, (12*(IF(ISBLANK(E13),C13,E13)))+(IF(ISBLANK(D13),B13,D13))))*12</f>
        <v>0</v>
      </c>
      <c r="V13" s="264">
        <f>SUM(IF((15*(IF(ISBLANK(E13),C13,E13)))+(IF(ISBLANK(D13),B13,D13)) &lt; 0, 0, (15*(IF(ISBLANK(E13),C13,E13)))+(IF(ISBLANK(D13),B13,D13))))*12</f>
        <v>0</v>
      </c>
      <c r="W13" s="265">
        <f>SUM(IF((18*(IF(ISBLANK(E13),C13,E13)))+(IF(ISBLANK(D13),B13,D13)) &lt; 0, 0, (18*(IF(ISBLANK(E13),C13,E13)))+(IF(ISBLANK(D13),B13,D13))))*12</f>
        <v>0</v>
      </c>
      <c r="X13" s="220"/>
      <c r="Y13" s="500">
        <v>0</v>
      </c>
      <c r="Z13" s="217">
        <f t="shared" si="69"/>
        <v>0</v>
      </c>
      <c r="AA13" s="217">
        <f t="shared" si="70"/>
        <v>0</v>
      </c>
      <c r="AB13" s="217">
        <f t="shared" si="71"/>
        <v>0</v>
      </c>
      <c r="AC13" s="264">
        <f t="shared" si="9"/>
        <v>0</v>
      </c>
      <c r="AD13" s="218"/>
      <c r="AE13" s="217">
        <f t="shared" si="72"/>
        <v>0</v>
      </c>
      <c r="AF13" s="217">
        <f t="shared" si="73"/>
        <v>0</v>
      </c>
      <c r="AG13" s="217">
        <f t="shared" si="74"/>
        <v>0</v>
      </c>
      <c r="AH13" s="264">
        <f t="shared" si="10"/>
        <v>0</v>
      </c>
      <c r="AI13" s="218"/>
      <c r="AJ13" s="217">
        <f t="shared" si="75"/>
        <v>0.05</v>
      </c>
      <c r="AK13" s="217">
        <f t="shared" si="76"/>
        <v>0.05</v>
      </c>
      <c r="AL13" s="217">
        <f t="shared" si="77"/>
        <v>0.05</v>
      </c>
      <c r="AM13" s="264">
        <f t="shared" si="11"/>
        <v>0.15000000000000002</v>
      </c>
      <c r="AN13" s="218"/>
      <c r="AO13" s="217">
        <f t="shared" si="78"/>
        <v>4.5000000000000005E-2</v>
      </c>
      <c r="AP13" s="217">
        <f t="shared" si="79"/>
        <v>4.5000000000000005E-2</v>
      </c>
      <c r="AQ13" s="217">
        <f t="shared" si="80"/>
        <v>4.5000000000000005E-2</v>
      </c>
      <c r="AR13" s="264">
        <f t="shared" si="15"/>
        <v>0.13500000000000001</v>
      </c>
      <c r="AS13" s="218"/>
      <c r="AT13" s="217">
        <f t="shared" si="81"/>
        <v>0.04</v>
      </c>
      <c r="AU13" s="217">
        <f t="shared" si="82"/>
        <v>0.04</v>
      </c>
      <c r="AV13" s="217">
        <f t="shared" si="83"/>
        <v>0.04</v>
      </c>
      <c r="AW13" s="264">
        <f t="shared" si="19"/>
        <v>0.12</v>
      </c>
      <c r="AX13" s="218"/>
      <c r="AY13" s="217">
        <f t="shared" si="84"/>
        <v>3.5000000000000003E-2</v>
      </c>
      <c r="AZ13" s="217">
        <f t="shared" si="85"/>
        <v>3.5000000000000003E-2</v>
      </c>
      <c r="BA13" s="217">
        <f t="shared" si="86"/>
        <v>3.5000000000000003E-2</v>
      </c>
      <c r="BB13" s="264">
        <f t="shared" si="23"/>
        <v>0.10500000000000001</v>
      </c>
      <c r="BC13" s="218"/>
      <c r="BD13" s="217">
        <f t="shared" si="87"/>
        <v>3.0000000000000002E-2</v>
      </c>
      <c r="BE13" s="217">
        <f t="shared" si="88"/>
        <v>3.0000000000000002E-2</v>
      </c>
      <c r="BF13" s="217">
        <f t="shared" si="89"/>
        <v>3.0000000000000002E-2</v>
      </c>
      <c r="BG13" s="264">
        <f t="shared" si="27"/>
        <v>9.0000000000000011E-2</v>
      </c>
      <c r="BH13" s="218"/>
      <c r="BI13" s="217">
        <f t="shared" si="90"/>
        <v>2.5000000000000001E-2</v>
      </c>
      <c r="BJ13" s="217">
        <f t="shared" si="91"/>
        <v>2.5000000000000001E-2</v>
      </c>
      <c r="BK13" s="217">
        <f t="shared" si="92"/>
        <v>2.5000000000000001E-2</v>
      </c>
      <c r="BL13" s="264">
        <f t="shared" si="51"/>
        <v>7.5000000000000011E-2</v>
      </c>
      <c r="BM13" s="218"/>
      <c r="BN13" s="217">
        <f t="shared" si="93"/>
        <v>2.0000000000000004E-2</v>
      </c>
      <c r="BO13" s="217">
        <f t="shared" si="94"/>
        <v>2.0000000000000004E-2</v>
      </c>
      <c r="BP13" s="217">
        <f t="shared" si="95"/>
        <v>2.0000000000000004E-2</v>
      </c>
      <c r="BQ13" s="264">
        <f t="shared" si="52"/>
        <v>6.0000000000000012E-2</v>
      </c>
      <c r="BR13" s="218"/>
      <c r="BS13" s="217">
        <f t="shared" si="96"/>
        <v>1.4999999999999999E-2</v>
      </c>
      <c r="BT13" s="217">
        <f t="shared" si="97"/>
        <v>1.4999999999999999E-2</v>
      </c>
      <c r="BU13" s="217">
        <f t="shared" si="98"/>
        <v>1.4999999999999999E-2</v>
      </c>
      <c r="BV13" s="264">
        <f t="shared" si="53"/>
        <v>4.4999999999999998E-2</v>
      </c>
      <c r="BW13" s="218"/>
      <c r="BX13" s="217">
        <f t="shared" si="99"/>
        <v>1.0000000000000002E-2</v>
      </c>
      <c r="BY13" s="217">
        <f t="shared" si="100"/>
        <v>1.0000000000000002E-2</v>
      </c>
      <c r="BZ13" s="217">
        <f t="shared" si="101"/>
        <v>1.0000000000000002E-2</v>
      </c>
      <c r="CA13" s="264">
        <f t="shared" si="54"/>
        <v>3.0000000000000006E-2</v>
      </c>
      <c r="CB13" s="218"/>
      <c r="CC13" s="217">
        <f t="shared" si="102"/>
        <v>5.0000000000000044E-3</v>
      </c>
      <c r="CD13" s="217">
        <f t="shared" si="103"/>
        <v>5.0000000000000044E-3</v>
      </c>
      <c r="CE13" s="217">
        <f t="shared" si="104"/>
        <v>5.0000000000000044E-3</v>
      </c>
      <c r="CF13" s="264">
        <f t="shared" si="55"/>
        <v>1.5000000000000013E-2</v>
      </c>
      <c r="CG13" s="219"/>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row>
    <row r="14" spans="1:175" s="10" customFormat="1" ht="9.75" customHeight="1" x14ac:dyDescent="0.15">
      <c r="A14" s="237" t="s">
        <v>185</v>
      </c>
      <c r="B14" s="298">
        <v>5000000</v>
      </c>
      <c r="C14" s="371">
        <v>2000000000</v>
      </c>
      <c r="D14" s="238"/>
      <c r="E14" s="239"/>
      <c r="F14" s="240">
        <f>SUM(IF(((1-(Y18/(IF(ISBLANK(D14),B14,(IF(D14=0,9.99999999999999E+29,D14))))))*SUM(F9:F13))&lt;0,0,((1-(Y18/(IF(ISBLANK(D14),B14,(IF(D14=0,9.99999999999999E+29,D14))))))*SUM(F9:F13))))</f>
        <v>9.9970000000000007E-3</v>
      </c>
      <c r="G14" s="241">
        <f>SUM(IF(((1-(F18/(IF(ISBLANK(D14),B14,(IF(D14=0,9.99999999999999E+29,D14))))))*SUM(G9:G13))&lt;0,0,((1-(F18/(IF(ISBLANK(D14),B14,(IF(D14=0,9.99999999999999E+29,D14))))))*SUM(G9:G13))))</f>
        <v>0.1199485148622277</v>
      </c>
      <c r="H14" s="241">
        <f>SUM(IF(((1-(G18/(IF(ISBLANK(D14),B14,(IF(D14=0,9.99999999999999E+29,D14))))))*SUM(H9:H13))&lt;0,0,((1-(G18/(IF(ISBLANK(D14),B14,(IF(D14=0,9.99999999999999E+29,D14))))))*SUM(H9:H13))))</f>
        <v>0.34464678802344945</v>
      </c>
      <c r="I14" s="241">
        <f>SUM(IF(((1-(H18/(IF(ISBLANK(D14),B14,(IF(D14=0,9.99999999999999E+29,D14))))))*SUM(I9:I13))&lt;0,0,((1-(H18/(IF(ISBLANK(D14),B14,(IF(D14=0,9.99999999999999E+29,D14))))))*SUM(I9:I13))))</f>
        <v>0.31966594938081361</v>
      </c>
      <c r="J14" s="267">
        <f t="shared" si="58"/>
        <v>7.0866959646428285</v>
      </c>
      <c r="K14" s="241">
        <f>SUM(IF(((1-(I18/(IF(ISBLANK(E14),C14,(IF(E14=0,9.99999999999999E+29,E14))))))*SUM(K9:K13))&lt;0,0,((1-(I18/(IF(ISBLANK(E14),C14,(IF(E14=0,9.99999999999999E+29,E14))))))*SUM(K9:K13))))</f>
        <v>0.29898590936817909</v>
      </c>
      <c r="L14" s="241">
        <f>SUM(IF(((1-(K18/(IF(ISBLANK(E14),C14,(IF(E14=0,9.99999999999999E+29,E14))))))*SUM(L9:L13))&lt;0,0,((1-(K18/(IF(ISBLANK(E14),C14,(IF(E14=0,9.99999999999999E+29,E14))))))*SUM(L9:L13))))</f>
        <v>0.27597169128246363</v>
      </c>
      <c r="M14" s="241">
        <f>SUM(IF(((1-(L18/(IF(ISBLANK(E14),C14,(IF(E14=0,9.99999999999999E+29,E14))))))*SUM(M9:M13))&lt;0,0,((1-(L18/(IF(ISBLANK(E14),C14,(IF(E14=0,9.99999999999999E+29,E14))))))*SUM(M9:M13))))</f>
        <v>0.25294677288232009</v>
      </c>
      <c r="N14" s="241">
        <f>SUM(IF(((1-(M18/(IF(ISBLANK(E14),C14,(IF(E14=0,9.99999999999999E+29,E14))))))*SUM(N9:N13))&lt;0,0,((1-(M18/(IF(ISBLANK(E14),C14,(IF(E14=0,9.99999999999999E+29,E14))))))*SUM(N9:N13))))</f>
        <v>0.22990345044970836</v>
      </c>
      <c r="O14" s="267">
        <f t="shared" si="63"/>
        <v>15.662776283228336</v>
      </c>
      <c r="P14" s="241">
        <f>SUM(IF(((1-(N18/(IF(ISBLANK(E14),C14,(IF(E14=0,9.99999999999999E+29,E14))))))*SUM(P9:P13))&lt;0,0,((1-(N18/(IF(ISBLANK(E14),C14,(IF(E14=0,9.99999999999999E+29,E14))))))*SUM(P9:P13))))</f>
        <v>0.20682723003273559</v>
      </c>
      <c r="Q14" s="241">
        <f>SUM(IF(((1-(P18/(IF(ISBLANK(E14),C14,(IF(E14=0,9.99999999999999E+29,E14))))))*SUM(Q9:Q13))&lt;0,0,((1-(P18/(IF(ISBLANK(E14),C14,(IF(E14=0,9.99999999999999E+29,E14))))))*SUM(Q9:Q13))))</f>
        <v>0.18369453714621195</v>
      </c>
      <c r="R14" s="241">
        <f>SUM(IF(((1-(Q18/(IF(ISBLANK(E14),C14,(IF(E14=0,9.99999999999999E+29,E14))))))*SUM(R9:R13))&lt;0,0,((1-(Q18/(IF(ISBLANK(E14),C14,(IF(E14=0,9.99999999999999E+29,E14))))))*SUM(R9:R13))))</f>
        <v>0.16545042681606378</v>
      </c>
      <c r="S14" s="241">
        <f>SUM(IF(((1-(R18/(IF(ISBLANK(E14),C14,(IF(E14=0,9.99999999999999E+29,E14))))))*SUM(S9:S13))&lt;0,0,((1-(R18/(IF(ISBLANK(E14),C14,(IF(E14=0,9.99999999999999E+29,E14))))))*SUM(S9:S13))))</f>
        <v>0.15196597045551682</v>
      </c>
      <c r="T14" s="268">
        <f t="shared" si="68"/>
        <v>6.0543109309567988</v>
      </c>
      <c r="U14" s="266">
        <f>SUM(IF(((1-(T18/(IF(ISBLANK(E14),C14,(IF(E14=0,9.99999999999999E+29,E14))))))*SUM(U9:U13))&lt;0,0,((1-(T18/(IF(ISBLANK(E14),C14,(IF(E14=0,9.99999999999999E+29,E14))))))*SUM(U9:U13))))</f>
        <v>1.4670558482800022</v>
      </c>
      <c r="V14" s="267">
        <f>SUM(IF(((1-(U18/(IF(ISBLANK(E14),C14,(IF(E14=0,9.99999999999999E+29,E14))))))*SUM(V9:V13))&lt;0,0,((1-(U18/(IF(ISBLANK(E14),C14,(IF(E14=0,9.99999999999999E+29,E14))))))*SUM(V9:V13))))</f>
        <v>1.148392431273366</v>
      </c>
      <c r="W14" s="268">
        <f>SUM(IF(((1-(V18/(IF(ISBLANK(E14),C14,(IF(E14=0,9.99999999999999E+29,E14))))))*SUM(W9:W13))&lt;0,0,((1-(V18/(IF(ISBLANK(E14),C14,(IF(E14=0,9.99999999999999E+29,E14))))))*SUM(W9:W13))))</f>
        <v>0.81403154186528892</v>
      </c>
      <c r="X14" s="243"/>
      <c r="Y14" s="501">
        <v>0</v>
      </c>
      <c r="Z14" s="241">
        <f>F14</f>
        <v>9.9970000000000007E-3</v>
      </c>
      <c r="AA14" s="241">
        <f>F14</f>
        <v>9.9970000000000007E-3</v>
      </c>
      <c r="AB14" s="241">
        <f>F14</f>
        <v>9.9970000000000007E-3</v>
      </c>
      <c r="AC14" s="267">
        <f t="shared" si="9"/>
        <v>2.9991000000000004E-2</v>
      </c>
      <c r="AD14" s="242"/>
      <c r="AE14" s="241">
        <f>G14</f>
        <v>0.1199485148622277</v>
      </c>
      <c r="AF14" s="241">
        <f>G14</f>
        <v>0.1199485148622277</v>
      </c>
      <c r="AG14" s="241">
        <f>G14</f>
        <v>0.1199485148622277</v>
      </c>
      <c r="AH14" s="267">
        <f t="shared" si="10"/>
        <v>0.35984554458668311</v>
      </c>
      <c r="AI14" s="242"/>
      <c r="AJ14" s="241">
        <f>H14</f>
        <v>0.34464678802344945</v>
      </c>
      <c r="AK14" s="241">
        <f>H14</f>
        <v>0.34464678802344945</v>
      </c>
      <c r="AL14" s="241">
        <f>H14</f>
        <v>0.34464678802344945</v>
      </c>
      <c r="AM14" s="267">
        <f t="shared" si="11"/>
        <v>1.0339403640703484</v>
      </c>
      <c r="AN14" s="242"/>
      <c r="AO14" s="241">
        <f>I14</f>
        <v>0.31966594938081361</v>
      </c>
      <c r="AP14" s="241">
        <f>I14</f>
        <v>0.31966594938081361</v>
      </c>
      <c r="AQ14" s="241">
        <f>I14</f>
        <v>0.31966594938081361</v>
      </c>
      <c r="AR14" s="267">
        <f t="shared" si="15"/>
        <v>0.95899784814244082</v>
      </c>
      <c r="AS14" s="242"/>
      <c r="AT14" s="241">
        <f>K14</f>
        <v>0.29898590936817909</v>
      </c>
      <c r="AU14" s="241">
        <f>K14</f>
        <v>0.29898590936817909</v>
      </c>
      <c r="AV14" s="241">
        <f>K14</f>
        <v>0.29898590936817909</v>
      </c>
      <c r="AW14" s="267">
        <f t="shared" si="19"/>
        <v>0.89695772810453733</v>
      </c>
      <c r="AX14" s="242"/>
      <c r="AY14" s="241">
        <f>L14</f>
        <v>0.27597169128246363</v>
      </c>
      <c r="AZ14" s="241">
        <f>L14</f>
        <v>0.27597169128246363</v>
      </c>
      <c r="BA14" s="241">
        <f>L14</f>
        <v>0.27597169128246363</v>
      </c>
      <c r="BB14" s="267">
        <f t="shared" si="23"/>
        <v>0.82791507384739083</v>
      </c>
      <c r="BC14" s="242"/>
      <c r="BD14" s="241">
        <f>M14</f>
        <v>0.25294677288232009</v>
      </c>
      <c r="BE14" s="241">
        <f>M14</f>
        <v>0.25294677288232009</v>
      </c>
      <c r="BF14" s="241">
        <f>M14</f>
        <v>0.25294677288232009</v>
      </c>
      <c r="BG14" s="267">
        <f t="shared" si="27"/>
        <v>0.75884031864696033</v>
      </c>
      <c r="BH14" s="242"/>
      <c r="BI14" s="241">
        <f>N14</f>
        <v>0.22990345044970836</v>
      </c>
      <c r="BJ14" s="241">
        <f>N14</f>
        <v>0.22990345044970836</v>
      </c>
      <c r="BK14" s="241">
        <f>N14</f>
        <v>0.22990345044970836</v>
      </c>
      <c r="BL14" s="267">
        <f t="shared" si="51"/>
        <v>0.68971035134912506</v>
      </c>
      <c r="BM14" s="242"/>
      <c r="BN14" s="241">
        <f>P14</f>
        <v>0.20682723003273559</v>
      </c>
      <c r="BO14" s="241">
        <f>P14</f>
        <v>0.20682723003273559</v>
      </c>
      <c r="BP14" s="241">
        <f>P14</f>
        <v>0.20682723003273559</v>
      </c>
      <c r="BQ14" s="267">
        <f t="shared" si="52"/>
        <v>0.62048169009820675</v>
      </c>
      <c r="BR14" s="242"/>
      <c r="BS14" s="241">
        <f>Q14</f>
        <v>0.18369453714621195</v>
      </c>
      <c r="BT14" s="241">
        <f>Q14</f>
        <v>0.18369453714621195</v>
      </c>
      <c r="BU14" s="241">
        <f>Q14</f>
        <v>0.18369453714621195</v>
      </c>
      <c r="BV14" s="267">
        <f t="shared" si="53"/>
        <v>0.55108361143863582</v>
      </c>
      <c r="BW14" s="242"/>
      <c r="BX14" s="241">
        <f>R14</f>
        <v>0.16545042681606378</v>
      </c>
      <c r="BY14" s="241">
        <f>R14</f>
        <v>0.16545042681606378</v>
      </c>
      <c r="BZ14" s="241">
        <f>R14</f>
        <v>0.16545042681606378</v>
      </c>
      <c r="CA14" s="267">
        <f t="shared" si="54"/>
        <v>0.49635128044819132</v>
      </c>
      <c r="CB14" s="242"/>
      <c r="CC14" s="241">
        <f>S14</f>
        <v>0.15196597045551682</v>
      </c>
      <c r="CD14" s="241">
        <f>S14</f>
        <v>0.15196597045551682</v>
      </c>
      <c r="CE14" s="241">
        <f>S14</f>
        <v>0.15196597045551682</v>
      </c>
      <c r="CF14" s="267">
        <f t="shared" si="55"/>
        <v>0.45589791136655045</v>
      </c>
      <c r="CG14" s="314"/>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row>
    <row r="15" spans="1:175" s="10" customFormat="1" ht="9.75" customHeight="1" x14ac:dyDescent="0.15">
      <c r="A15" s="53" t="s">
        <v>186</v>
      </c>
      <c r="B15" s="479">
        <v>0.15</v>
      </c>
      <c r="C15" s="269">
        <v>-1.2E-2</v>
      </c>
      <c r="D15" s="118"/>
      <c r="E15" s="117"/>
      <c r="F15" s="223">
        <v>0.8</v>
      </c>
      <c r="G15" s="224">
        <v>0.5</v>
      </c>
      <c r="H15" s="225">
        <f>SUM(IF(     IF(ISBLANK(D15),B15,D15)   &gt;   0,   (     IF(ISBLANK(D15),B15,D15)   ),0))</f>
        <v>0.15</v>
      </c>
      <c r="I15" s="225">
        <f>SUM(IF(     IF(ISBLANK(D15),B15,D15)     +   (1* (IF(ISBLANK(E15),C15,E15))) &gt;   0,   (     IF(ISBLANK(D15),B15,D15)    +  (1* (IF(ISBLANK(E15),C15,E15)) )  ),0))</f>
        <v>0.13799999999999998</v>
      </c>
      <c r="J15" s="439">
        <f t="shared" si="58"/>
        <v>43.117571652767531</v>
      </c>
      <c r="K15" s="225">
        <f>SUM(IF(     IF(ISBLANK(D15),B15,D15)    +   (2* (IF(ISBLANK(E15),C15,E15))) &gt;   0,   (     IF(ISBLANK(D15),B15,D15)    +  (2* (IF(ISBLANK(E15),C15,E15)) )  ),0))</f>
        <v>0.126</v>
      </c>
      <c r="L15" s="225">
        <f>SUM(IF(     IF(ISBLANK(D15),B15,D15)    +   (3* (IF(ISBLANK(E15),C15,E15))) &gt;   0,   (     IF(ISBLANK(D15),B15,D15)    +  (3* (IF(ISBLANK(E15),C15,E15)) )  ),0))</f>
        <v>0.11399999999999999</v>
      </c>
      <c r="M15" s="225">
        <f>SUM(IF(     IF(ISBLANK(D15),B15,D15)     +   (4* (IF(ISBLANK(E15),C15,E15))) &gt;   0,   (     IF(ISBLANK(D15),B15,D15)   +  (4* (IF(ISBLANK(E15),C15,E15)) )  ),0))</f>
        <v>0.10199999999999999</v>
      </c>
      <c r="N15" s="225">
        <f>SUM(IF(     IF(ISBLANK(D15),B15,D15)     +  (5* (IF(ISBLANK(E15),C15,E15))) &gt;   0,   (     IF(ISBLANK(D15),B15,D15)   +  (5* (IF(ISBLANK(E15),C15,E15)) )  ),0))</f>
        <v>0.09</v>
      </c>
      <c r="O15" s="439">
        <f t="shared" si="63"/>
        <v>2.420542740660216</v>
      </c>
      <c r="P15" s="225">
        <f>SUM(IF(     IF(ISBLANK(D15),B15,D15)     +   (6* (IF(ISBLANK(E15),C15,E15))) &gt;   0,   (     IF(ISBLANK(D15),B15,D15)    +  (6* (IF(ISBLANK(E15),C15,E15)) )  ),0))</f>
        <v>7.7999999999999986E-2</v>
      </c>
      <c r="Q15" s="225">
        <f>SUM(IF(     IF(ISBLANK(D15),B15,D15)     +   (7* (IF(ISBLANK(E15),C15,E15))) &gt;   0,   (     IF(ISBLANK(D15),B15,D15)    +  (7* (IF(ISBLANK(E15),C15,E15)) )  ),0))</f>
        <v>6.5999999999999989E-2</v>
      </c>
      <c r="R15" s="225">
        <f>SUM(IF(     IF(ISBLANK(D15),B15,D15)     +   (8* (IF(ISBLANK(E15),C15,E15))) &gt;   0,   (     IF(ISBLANK(D15),B15,D15)    +  (8* (IF(ISBLANK(E15),C15,E15)) )  ),0))</f>
        <v>5.3999999999999992E-2</v>
      </c>
      <c r="S15" s="225">
        <f>SUM(IF(     IF(ISBLANK(D15),B15,D15)     +   (9* (IF(ISBLANK(E15),C15,E15))) &gt;   0,   (     IF(ISBLANK(D15),B15,D15)   +  (9* (IF(ISBLANK(E15),C15,E15)) )  ),0))</f>
        <v>4.1999999999999996E-2</v>
      </c>
      <c r="T15" s="450">
        <f t="shared" si="68"/>
        <v>1.0102630316814332</v>
      </c>
      <c r="U15" s="270">
        <v>0.2</v>
      </c>
      <c r="V15" s="271">
        <v>0.2</v>
      </c>
      <c r="W15" s="272">
        <v>0.2</v>
      </c>
      <c r="X15" s="226"/>
      <c r="Y15" s="502">
        <v>0.7</v>
      </c>
      <c r="Z15" s="225">
        <f>F15</f>
        <v>0.8</v>
      </c>
      <c r="AA15" s="225">
        <f>F15</f>
        <v>0.8</v>
      </c>
      <c r="AB15" s="225">
        <f>F15</f>
        <v>0.8</v>
      </c>
      <c r="AC15" s="271">
        <f t="shared" si="9"/>
        <v>2.4000000000000004</v>
      </c>
      <c r="AD15" s="221"/>
      <c r="AE15" s="225">
        <f>G15</f>
        <v>0.5</v>
      </c>
      <c r="AF15" s="225">
        <f>G15</f>
        <v>0.5</v>
      </c>
      <c r="AG15" s="225">
        <f>G15</f>
        <v>0.5</v>
      </c>
      <c r="AH15" s="271">
        <f t="shared" si="10"/>
        <v>1.5</v>
      </c>
      <c r="AI15" s="221"/>
      <c r="AJ15" s="225">
        <f>H15</f>
        <v>0.15</v>
      </c>
      <c r="AK15" s="225">
        <f>H15</f>
        <v>0.15</v>
      </c>
      <c r="AL15" s="225">
        <f>H15</f>
        <v>0.15</v>
      </c>
      <c r="AM15" s="271">
        <f t="shared" si="11"/>
        <v>0.44999999999999996</v>
      </c>
      <c r="AN15" s="221"/>
      <c r="AO15" s="225">
        <f>I15</f>
        <v>0.13799999999999998</v>
      </c>
      <c r="AP15" s="225">
        <f>I15</f>
        <v>0.13799999999999998</v>
      </c>
      <c r="AQ15" s="225">
        <f>I15</f>
        <v>0.13799999999999998</v>
      </c>
      <c r="AR15" s="271">
        <f t="shared" si="15"/>
        <v>0.41399999999999992</v>
      </c>
      <c r="AS15" s="221"/>
      <c r="AT15" s="225">
        <f>K15</f>
        <v>0.126</v>
      </c>
      <c r="AU15" s="225">
        <f>K15</f>
        <v>0.126</v>
      </c>
      <c r="AV15" s="225">
        <f>K15</f>
        <v>0.126</v>
      </c>
      <c r="AW15" s="271">
        <f t="shared" si="19"/>
        <v>0.378</v>
      </c>
      <c r="AX15" s="221"/>
      <c r="AY15" s="225">
        <f>L15</f>
        <v>0.11399999999999999</v>
      </c>
      <c r="AZ15" s="225">
        <f>L15</f>
        <v>0.11399999999999999</v>
      </c>
      <c r="BA15" s="225">
        <f>L15</f>
        <v>0.11399999999999999</v>
      </c>
      <c r="BB15" s="271">
        <f t="shared" si="23"/>
        <v>0.34199999999999997</v>
      </c>
      <c r="BC15" s="221"/>
      <c r="BD15" s="225">
        <f>M15</f>
        <v>0.10199999999999999</v>
      </c>
      <c r="BE15" s="225">
        <f>M15</f>
        <v>0.10199999999999999</v>
      </c>
      <c r="BF15" s="225">
        <f>M15</f>
        <v>0.10199999999999999</v>
      </c>
      <c r="BG15" s="271">
        <f t="shared" si="27"/>
        <v>0.30599999999999999</v>
      </c>
      <c r="BH15" s="221"/>
      <c r="BI15" s="225">
        <f>N15</f>
        <v>0.09</v>
      </c>
      <c r="BJ15" s="225">
        <f>N15</f>
        <v>0.09</v>
      </c>
      <c r="BK15" s="225">
        <f>N15</f>
        <v>0.09</v>
      </c>
      <c r="BL15" s="271">
        <f t="shared" si="51"/>
        <v>0.27</v>
      </c>
      <c r="BM15" s="221"/>
      <c r="BN15" s="225">
        <f>P15</f>
        <v>7.7999999999999986E-2</v>
      </c>
      <c r="BO15" s="225">
        <f>P15</f>
        <v>7.7999999999999986E-2</v>
      </c>
      <c r="BP15" s="225">
        <f>P15</f>
        <v>7.7999999999999986E-2</v>
      </c>
      <c r="BQ15" s="271">
        <f t="shared" si="52"/>
        <v>0.23399999999999996</v>
      </c>
      <c r="BR15" s="221"/>
      <c r="BS15" s="225">
        <f>Q15</f>
        <v>6.5999999999999989E-2</v>
      </c>
      <c r="BT15" s="225">
        <f>Q15</f>
        <v>6.5999999999999989E-2</v>
      </c>
      <c r="BU15" s="225">
        <f>Q15</f>
        <v>6.5999999999999989E-2</v>
      </c>
      <c r="BV15" s="271">
        <f t="shared" si="53"/>
        <v>0.19799999999999995</v>
      </c>
      <c r="BW15" s="221"/>
      <c r="BX15" s="225">
        <f>R15</f>
        <v>5.3999999999999992E-2</v>
      </c>
      <c r="BY15" s="225">
        <f>R15</f>
        <v>5.3999999999999992E-2</v>
      </c>
      <c r="BZ15" s="225">
        <f>R15</f>
        <v>5.3999999999999992E-2</v>
      </c>
      <c r="CA15" s="271">
        <f t="shared" si="54"/>
        <v>0.16199999999999998</v>
      </c>
      <c r="CB15" s="221"/>
      <c r="CC15" s="225">
        <f>S15</f>
        <v>4.1999999999999996E-2</v>
      </c>
      <c r="CD15" s="225">
        <f>S15</f>
        <v>4.1999999999999996E-2</v>
      </c>
      <c r="CE15" s="225">
        <f>S15</f>
        <v>4.1999999999999996E-2</v>
      </c>
      <c r="CF15" s="271">
        <f t="shared" si="55"/>
        <v>0.126</v>
      </c>
      <c r="CG15" s="222"/>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row>
    <row r="16" spans="1:175" s="11" customFormat="1" ht="9.75" customHeight="1" x14ac:dyDescent="0.15">
      <c r="A16" s="193" t="s">
        <v>187</v>
      </c>
      <c r="B16" s="317"/>
      <c r="C16" s="318"/>
      <c r="D16" s="300"/>
      <c r="E16" s="301"/>
      <c r="F16" s="451">
        <f>SUM((F18/Y18)-1)/3</f>
        <v>0.14338090529920011</v>
      </c>
      <c r="G16" s="451">
        <f>SUM((G18/F18)-1)/3</f>
        <v>0.4620828779306933</v>
      </c>
      <c r="H16" s="451">
        <f>SUM((H18/G18)-1)/3</f>
        <v>2.0266928328032612</v>
      </c>
      <c r="I16" s="451">
        <f>SUM((I18/H18)-1)/3</f>
        <v>0.53351599441812247</v>
      </c>
      <c r="J16" s="457" t="s">
        <v>50</v>
      </c>
      <c r="K16" s="452">
        <f>SUM((K18/I18)-1)/3</f>
        <v>0.39215524472655422</v>
      </c>
      <c r="L16" s="452">
        <f>SUM((L18/K18)-1)/3</f>
        <v>0.35038946318913472</v>
      </c>
      <c r="M16" s="452">
        <f>SUM((M18/L18)-1)/3</f>
        <v>0.33176940596006105</v>
      </c>
      <c r="N16" s="452">
        <f>SUM((N18/M18)-1)/3</f>
        <v>0.32942352644837453</v>
      </c>
      <c r="O16" s="453">
        <f>SUM(O18/J18)-1</f>
        <v>16.710818262380332</v>
      </c>
      <c r="P16" s="452">
        <f>SUM((P18/N18)-1)/3</f>
        <v>0.32967871664400855</v>
      </c>
      <c r="Q16" s="452">
        <f>SUM((Q18/P18)-1)/3</f>
        <v>0.33141247709712934</v>
      </c>
      <c r="R16" s="452">
        <f>SUM((R18/Q18)-1)/3</f>
        <v>0.34712700494451143</v>
      </c>
      <c r="S16" s="452">
        <f>SUM((S18/R18)-1)/3</f>
        <v>0.36088658870650764</v>
      </c>
      <c r="T16" s="454">
        <f>SUM(T18/O18)-1</f>
        <v>15.864052227961771</v>
      </c>
      <c r="U16" s="455">
        <f>SUM(U18/T18)-1</f>
        <v>2.0554297961814632</v>
      </c>
      <c r="V16" s="453">
        <f>SUM(V18/U18)-1</f>
        <v>1.4978093164888295</v>
      </c>
      <c r="W16" s="456">
        <f>SUM(W18/V18)-1</f>
        <v>0.82425739447587087</v>
      </c>
      <c r="X16" s="462"/>
      <c r="Y16" s="503">
        <v>0</v>
      </c>
      <c r="Z16" s="452">
        <f>SUM((Z18/Y18)-1)</f>
        <v>0.34299033333333329</v>
      </c>
      <c r="AA16" s="452">
        <f t="shared" ref="AA16:AB16" si="105">SUM((AA18/Z18)-1)</f>
        <v>5.3631764310788199E-2</v>
      </c>
      <c r="AB16" s="452">
        <f t="shared" si="105"/>
        <v>1.0689227481044838E-2</v>
      </c>
      <c r="AC16" s="453">
        <f t="shared" si="9"/>
        <v>0.40731132512516632</v>
      </c>
      <c r="AD16" s="458"/>
      <c r="AE16" s="452">
        <f>SUM((AE18/AB18)-1)</f>
        <v>0.69164258472438633</v>
      </c>
      <c r="AF16" s="452">
        <f>SUM((AF18/AE18)-1)</f>
        <v>0.2534712693374388</v>
      </c>
      <c r="AG16" s="452">
        <f>SUM((AG18/AF18)-1)</f>
        <v>0.12536317411491193</v>
      </c>
      <c r="AH16" s="453">
        <f t="shared" si="10"/>
        <v>1.0704770281767371</v>
      </c>
      <c r="AI16" s="458"/>
      <c r="AJ16" s="452">
        <f>SUM((AJ18/AG18)-1)</f>
        <v>1.6787321047077595</v>
      </c>
      <c r="AK16" s="452">
        <f>SUM((AK18/AJ18)-1)</f>
        <v>0.74867207262585223</v>
      </c>
      <c r="AL16" s="452">
        <f>SUM((AL18/AK18)-1)</f>
        <v>0.51147307768361649</v>
      </c>
      <c r="AM16" s="453">
        <f t="shared" si="11"/>
        <v>2.9388772550172284</v>
      </c>
      <c r="AN16" s="458"/>
      <c r="AO16" s="452">
        <f>SUM((AO18/AL18)-1)</f>
        <v>0.44733030180031674</v>
      </c>
      <c r="AP16" s="452">
        <f>SUM((AP18/AO18)-1)</f>
        <v>0.36522069986800143</v>
      </c>
      <c r="AQ16" s="452">
        <f>SUM((AQ18/AP18)-1)</f>
        <v>0.31611655542929729</v>
      </c>
      <c r="AR16" s="453">
        <f t="shared" si="15"/>
        <v>1.1286675570976155</v>
      </c>
      <c r="AS16" s="458"/>
      <c r="AT16" s="452">
        <f>SUM((AT18/AQ18)-1)</f>
        <v>0.33150321225925294</v>
      </c>
      <c r="AU16" s="452">
        <f>SUM((AU18/AT18)-1)</f>
        <v>0.29203729537430578</v>
      </c>
      <c r="AV16" s="452">
        <f>SUM((AV18/AU18)-1)</f>
        <v>0.26512828515899334</v>
      </c>
      <c r="AW16" s="453">
        <f t="shared" si="19"/>
        <v>0.88866879279255206</v>
      </c>
      <c r="AX16" s="458"/>
      <c r="AY16" s="452">
        <f>SUM((AY18/AV18)-1)</f>
        <v>0.29929485321283322</v>
      </c>
      <c r="AZ16" s="452">
        <f>SUM((AZ18/AY18)-1)</f>
        <v>0.26766222148875474</v>
      </c>
      <c r="BA16" s="452">
        <f>SUM((BA18/AZ18)-1)</f>
        <v>0.24534605427497058</v>
      </c>
      <c r="BB16" s="453">
        <f t="shared" si="23"/>
        <v>0.81230312897655854</v>
      </c>
      <c r="BC16" s="458"/>
      <c r="BD16" s="452">
        <f>SUM((BD18/BA18)-1)</f>
        <v>0.28636810564390713</v>
      </c>
      <c r="BE16" s="452">
        <f>SUM((BE18/BD18)-1)</f>
        <v>0.25622094142507956</v>
      </c>
      <c r="BF16" s="452">
        <f>SUM((BF18/BE18)-1)</f>
        <v>0.23474904449811951</v>
      </c>
      <c r="BG16" s="453">
        <f t="shared" si="27"/>
        <v>0.7773380915671062</v>
      </c>
      <c r="BH16" s="458"/>
      <c r="BI16" s="452">
        <f>SUM((BI18/BF18)-1)</f>
        <v>0.28734782378791079</v>
      </c>
      <c r="BJ16" s="452">
        <f>SUM((BJ18/BI18)-1)</f>
        <v>0.25443688936473285</v>
      </c>
      <c r="BK16" s="452">
        <f>SUM((BK18/BJ18)-1)</f>
        <v>0.23120612170089117</v>
      </c>
      <c r="BL16" s="453">
        <f>SUM(BI16:BK16)</f>
        <v>0.77299083485353481</v>
      </c>
      <c r="BM16" s="458"/>
      <c r="BN16" s="452">
        <f>SUM((BN18/BK18)-1)</f>
        <v>0.29062986734498475</v>
      </c>
      <c r="BO16" s="452">
        <f>SUM((BO18/BN18)-1)</f>
        <v>0.2541944181058744</v>
      </c>
      <c r="BP16" s="452">
        <f>SUM((BP18/BO18)-1)</f>
        <v>0.22878556684503981</v>
      </c>
      <c r="BQ16" s="453">
        <f>SUM(BN16:BP16)</f>
        <v>0.77360985229589896</v>
      </c>
      <c r="BR16" s="458"/>
      <c r="BS16" s="452">
        <f>SUM((BS18/BP18)-1)</f>
        <v>0.29529445906555951</v>
      </c>
      <c r="BT16" s="452">
        <f>SUM((BT18/BS18)-1)</f>
        <v>0.25480615734681877</v>
      </c>
      <c r="BU16" s="452">
        <f>SUM((BU18/BT18)-1)</f>
        <v>0.2269637014691841</v>
      </c>
      <c r="BV16" s="453">
        <f>SUM(BS16:BU16)</f>
        <v>0.77706431788156238</v>
      </c>
      <c r="BW16" s="458"/>
      <c r="BX16" s="452">
        <f>SUM((BX18/BU18)-1)</f>
        <v>0.31115978802036626</v>
      </c>
      <c r="BY16" s="452">
        <f>SUM((BY18/BX18)-1)</f>
        <v>0.26376547112186155</v>
      </c>
      <c r="BZ16" s="452">
        <f>SUM((BZ18/BY18)-1)</f>
        <v>0.2319751980543423</v>
      </c>
      <c r="CA16" s="453">
        <f t="shared" si="54"/>
        <v>0.80690045719657011</v>
      </c>
      <c r="CB16" s="458"/>
      <c r="CC16" s="452">
        <f>SUM((CC18/BZ18)-1)</f>
        <v>0.32395657321116977</v>
      </c>
      <c r="CD16" s="452">
        <f>SUM((CD18/CC18)-1)</f>
        <v>0.27159559417998147</v>
      </c>
      <c r="CE16" s="452">
        <f>SUM((CE18/CD18)-1)</f>
        <v>0.23707369594956074</v>
      </c>
      <c r="CF16" s="453">
        <f t="shared" si="55"/>
        <v>0.83262586334071198</v>
      </c>
      <c r="CG16" s="113"/>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row>
    <row r="17" spans="1:175" s="11" customFormat="1" ht="9.75" customHeight="1" x14ac:dyDescent="0.15">
      <c r="A17" s="54" t="s">
        <v>188</v>
      </c>
      <c r="B17" s="319"/>
      <c r="C17" s="320"/>
      <c r="D17" s="204"/>
      <c r="E17" s="205"/>
      <c r="F17" s="99">
        <f>AC17</f>
        <v>645.21407384639997</v>
      </c>
      <c r="G17" s="36">
        <f>AH17</f>
        <v>2973.800079061115</v>
      </c>
      <c r="H17" s="36">
        <f>AM17</f>
        <v>31124.007884148363</v>
      </c>
      <c r="I17" s="36">
        <f>AR17</f>
        <v>58008.695828453376</v>
      </c>
      <c r="J17" s="191">
        <f>SUM(J18-Y18)</f>
        <v>92751.717865509258</v>
      </c>
      <c r="K17" s="36">
        <f>AW17</f>
        <v>110883.91645634077</v>
      </c>
      <c r="L17" s="36">
        <f>BB17</f>
        <v>215632.09437298708</v>
      </c>
      <c r="M17" s="36">
        <f>BG17</f>
        <v>418793.57818875054</v>
      </c>
      <c r="N17" s="36">
        <f>BL17</f>
        <v>829713.73914959235</v>
      </c>
      <c r="O17" s="191">
        <f>SUM(O18-J18)</f>
        <v>1575023.3281676709</v>
      </c>
      <c r="P17" s="36">
        <f>BQ17</f>
        <v>1650973.3647062613</v>
      </c>
      <c r="Q17" s="36">
        <f>BV17</f>
        <v>3301115.2511428948</v>
      </c>
      <c r="R17" s="36">
        <f>CA17</f>
        <v>6895362.409792915</v>
      </c>
      <c r="S17" s="36">
        <f>CF17</f>
        <v>14634015.487461589</v>
      </c>
      <c r="T17" s="192">
        <f>SUM(T18-O18)</f>
        <v>26481466.51310366</v>
      </c>
      <c r="U17" s="197">
        <f>SUM((U8+(T18*U14))-(T18*U15))</f>
        <v>57861872.985253684</v>
      </c>
      <c r="V17" s="191">
        <f>SUM((V8+(U18*V14))-(U18*V15))</f>
        <v>128830495.40015073</v>
      </c>
      <c r="W17" s="198">
        <f>SUM((W8+(V18*W14))-(V18*W15))</f>
        <v>177086022.02398071</v>
      </c>
      <c r="X17" s="175"/>
      <c r="Y17" s="507">
        <v>1500</v>
      </c>
      <c r="Z17" s="36">
        <f>SUM((Z8+(Y18*Z14))-(Y18*Z15))</f>
        <v>514.4855</v>
      </c>
      <c r="AA17" s="36">
        <f>SUM((AA8+(Z18*AA14))-(Z18*AA15))</f>
        <v>108.04041154349989</v>
      </c>
      <c r="AB17" s="36">
        <f>SUM((AB8+(AA18*AB14))-(AA18*AB15))</f>
        <v>22.688162302900082</v>
      </c>
      <c r="AC17" s="191">
        <f t="shared" si="9"/>
        <v>645.21407384639997</v>
      </c>
      <c r="AD17" s="191"/>
      <c r="AE17" s="36">
        <f>SUM((AE8+(AB18*AE14))-(AB18*AE15))</f>
        <v>1483.7214068222552</v>
      </c>
      <c r="AF17" s="36">
        <f>SUM((AF8+(AE18*AF14))-(AE18*AF15))</f>
        <v>919.83088262875231</v>
      </c>
      <c r="AG17" s="36">
        <f>SUM((AG8+(AF18*AG14))-(AF18*AG15))</f>
        <v>570.24778961010725</v>
      </c>
      <c r="AH17" s="191">
        <f t="shared" si="10"/>
        <v>2973.800079061115</v>
      </c>
      <c r="AI17" s="191"/>
      <c r="AJ17" s="36">
        <f>SUM((AJ8+(AG18*AJ14))-(AG18*AJ15))</f>
        <v>8593.4534029392416</v>
      </c>
      <c r="AK17" s="36">
        <f>SUM((AK8+(AJ18*AK14))-(AJ18*AK15))</f>
        <v>10266.141505850546</v>
      </c>
      <c r="AL17" s="36">
        <f>SUM((AL8+(AK18*AL14))-(AK18*AL15))</f>
        <v>12264.412975358573</v>
      </c>
      <c r="AM17" s="191">
        <f t="shared" si="11"/>
        <v>31124.007884148363</v>
      </c>
      <c r="AN17" s="191"/>
      <c r="AO17" s="36">
        <f>SUM((AO8+(AL18*AO14))-(AL18*AO15))</f>
        <v>16212.601985991738</v>
      </c>
      <c r="AP17" s="36">
        <f>SUM((AP8+(AO18*AP14))-(AO18*AP15))</f>
        <v>19157.879717710191</v>
      </c>
      <c r="AQ17" s="36">
        <f>SUM((AQ8+(AP18*AQ14))-(AP18*AQ15))</f>
        <v>22638.214124751448</v>
      </c>
      <c r="AR17" s="191">
        <f t="shared" si="15"/>
        <v>58008.695828453376</v>
      </c>
      <c r="AS17" s="191"/>
      <c r="AT17" s="36">
        <f>SUM((AT8+(AQ18*AT14))-(AQ18*AT15))</f>
        <v>31244.747233369137</v>
      </c>
      <c r="AU17" s="36">
        <f>SUM((AU8+(AT18*AU14))-(AT18*AU15))</f>
        <v>36649.648246512399</v>
      </c>
      <c r="AV17" s="36">
        <f>SUM((AV8+(AU18*AV14))-(AU18*AV15))</f>
        <v>42989.520976459229</v>
      </c>
      <c r="AW17" s="191">
        <f t="shared" si="19"/>
        <v>110883.91645634077</v>
      </c>
      <c r="AX17" s="191"/>
      <c r="AY17" s="36">
        <f>SUM((AY8+(AV18*AY14))-(AV18*AY15))</f>
        <v>61396.039563079554</v>
      </c>
      <c r="AZ17" s="36">
        <f>SUM((AZ8+(AY18*AZ14))-(AY18*AZ15))</f>
        <v>71340.459929156597</v>
      </c>
      <c r="BA17" s="36">
        <f>SUM((BA8+(AZ18*BA14))-(AZ18*BA15))</f>
        <v>82895.594880750927</v>
      </c>
      <c r="BB17" s="191">
        <f t="shared" si="23"/>
        <v>215632.09437298708</v>
      </c>
      <c r="BC17" s="191"/>
      <c r="BD17" s="36">
        <f>SUM((BD8+(BA18*BD14))-(BA18*BD15))</f>
        <v>120494.45738242994</v>
      </c>
      <c r="BE17" s="36">
        <f>SUM((BE8+(BD18*BE14))-(BD18*BE15))</f>
        <v>138682.706874514</v>
      </c>
      <c r="BF17" s="36">
        <f>SUM((BF8+(BE18*BF14))-(BE18*BF15))</f>
        <v>159616.41393180663</v>
      </c>
      <c r="BG17" s="191">
        <f t="shared" si="27"/>
        <v>418793.57818875054</v>
      </c>
      <c r="BH17" s="191"/>
      <c r="BI17" s="36">
        <f>SUM((BI8+(BF18*BI14))-(BF18*BI15))</f>
        <v>241246.11446953329</v>
      </c>
      <c r="BJ17" s="36">
        <f>SUM((BJ8+(BI18*BJ14))-(BI18*BJ15))</f>
        <v>274997.27829140634</v>
      </c>
      <c r="BK17" s="36">
        <f>SUM((BK8+(BJ18*BK14))-(BJ18*BK15))</f>
        <v>313470.34638865275</v>
      </c>
      <c r="BL17" s="191">
        <f>SUM(BI17:BK17)</f>
        <v>829713.73914959235</v>
      </c>
      <c r="BM17" s="191"/>
      <c r="BN17" s="36">
        <f>SUM((BN8+(BK18*BN14))-(BK18*BN15))</f>
        <v>485141.18519091612</v>
      </c>
      <c r="BO17" s="36">
        <f>SUM((BO8+(BN18*BO14))-(BN18*BO15))</f>
        <v>547640.58025386021</v>
      </c>
      <c r="BP17" s="36">
        <f>SUM((BP8+(BO18*BP14))-(BO18*BP15))</f>
        <v>618191.59926148504</v>
      </c>
      <c r="BQ17" s="191">
        <f>SUM(BN17:BP17)</f>
        <v>1650973.3647062613</v>
      </c>
      <c r="BR17" s="191"/>
      <c r="BS17" s="36">
        <f>SUM((BS8+(BP18*BS14))-(BP18*BS15))</f>
        <v>980450.95841258636</v>
      </c>
      <c r="BT17" s="36">
        <f>SUM((BT8+(BS18*BT14))-(BS18*BT15))</f>
        <v>1095844.6801575157</v>
      </c>
      <c r="BU17" s="36">
        <f>SUM((BU8+(BT18*BU14))-(BT18*BU15))</f>
        <v>1224819.6125727929</v>
      </c>
      <c r="BV17" s="191">
        <f>SUM(BS17:BU17)</f>
        <v>3301115.2511428948</v>
      </c>
      <c r="BW17" s="191"/>
      <c r="BX17" s="36">
        <f>SUM((BX8+(BU18*BX14))-(BU18*BX15))</f>
        <v>2060302.113437064</v>
      </c>
      <c r="BY17" s="36">
        <f>SUM((BY8+(BX18*BY14))-(BX18*BY15))</f>
        <v>2289923.6633496634</v>
      </c>
      <c r="BZ17" s="36">
        <f>SUM((BZ8+(BY18*BZ14))-(BY18*BZ15))</f>
        <v>2545136.6330061876</v>
      </c>
      <c r="CA17" s="191">
        <f>SUM(BX17:BZ17)</f>
        <v>6895362.409792915</v>
      </c>
      <c r="CB17" s="191"/>
      <c r="CC17" s="36">
        <f>SUM((CC8+(BZ18*CC14))-(BZ18*CC15))</f>
        <v>4378832.2592139905</v>
      </c>
      <c r="CD17" s="36">
        <f>SUM((CD8+(CC18*CD14))-(CC18*CD15))</f>
        <v>4860354.7980603809</v>
      </c>
      <c r="CE17" s="36">
        <f>SUM((CE8+(CD18*CE14))-(CD18*CE15))</f>
        <v>5394828.4301872179</v>
      </c>
      <c r="CF17" s="191">
        <f>SUM(CC17:CE17)</f>
        <v>14634015.487461589</v>
      </c>
      <c r="CG17" s="198"/>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row>
    <row r="18" spans="1:175" s="9" customFormat="1" ht="9.75" customHeight="1" x14ac:dyDescent="0.15">
      <c r="A18" s="52" t="s">
        <v>189</v>
      </c>
      <c r="B18" s="321"/>
      <c r="C18" s="322"/>
      <c r="D18" s="202"/>
      <c r="E18" s="203"/>
      <c r="F18" s="99">
        <f>AC18</f>
        <v>2145.2140738464004</v>
      </c>
      <c r="G18" s="36">
        <f>AH18</f>
        <v>5119.0141529075154</v>
      </c>
      <c r="H18" s="36">
        <f>AM18</f>
        <v>36243.022037055875</v>
      </c>
      <c r="I18" s="36">
        <f>AR18</f>
        <v>94251.717865509258</v>
      </c>
      <c r="J18" s="191">
        <f>AQ18</f>
        <v>94251.717865509258</v>
      </c>
      <c r="K18" s="36">
        <f>AW18</f>
        <v>205135.63432185003</v>
      </c>
      <c r="L18" s="36">
        <f>BB18</f>
        <v>420767.72869483707</v>
      </c>
      <c r="M18" s="36">
        <f>BG18</f>
        <v>839561.30688358773</v>
      </c>
      <c r="N18" s="36">
        <f>BL18</f>
        <v>1669275.0460331801</v>
      </c>
      <c r="O18" s="191">
        <f>BK18</f>
        <v>1669275.0460331801</v>
      </c>
      <c r="P18" s="36">
        <f>BQ18</f>
        <v>3320248.4107394414</v>
      </c>
      <c r="Q18" s="36">
        <f>BV18</f>
        <v>6621363.6618823372</v>
      </c>
      <c r="R18" s="36">
        <f>CA18</f>
        <v>13516726.071675252</v>
      </c>
      <c r="S18" s="36">
        <f>CF18</f>
        <v>28150741.559136841</v>
      </c>
      <c r="T18" s="192">
        <f>CE18</f>
        <v>28150741.559136841</v>
      </c>
      <c r="U18" s="197">
        <f>SUM(T18+U17)</f>
        <v>86012614.544390529</v>
      </c>
      <c r="V18" s="191">
        <f>SUM(U18+V17)</f>
        <v>214843109.94454128</v>
      </c>
      <c r="W18" s="198">
        <f>SUM(V18+W17)</f>
        <v>391929131.96852195</v>
      </c>
      <c r="X18" s="175"/>
      <c r="Y18" s="508">
        <v>1500</v>
      </c>
      <c r="Z18" s="36">
        <f>SUM(Y18+Z17)</f>
        <v>2014.4855</v>
      </c>
      <c r="AA18" s="36">
        <f>SUM(Z18+AA17)</f>
        <v>2122.5259115435001</v>
      </c>
      <c r="AB18" s="36">
        <f>SUM(AA18+AB17)</f>
        <v>2145.2140738464004</v>
      </c>
      <c r="AC18" s="191">
        <f>AB18</f>
        <v>2145.2140738464004</v>
      </c>
      <c r="AD18" s="191"/>
      <c r="AE18" s="36">
        <f>SUM(AB18+AE17)</f>
        <v>3628.9354806686556</v>
      </c>
      <c r="AF18" s="36">
        <f>SUM(AE18+AF17)</f>
        <v>4548.7663632974081</v>
      </c>
      <c r="AG18" s="36">
        <f>SUM(AF18+AG17)</f>
        <v>5119.0141529075154</v>
      </c>
      <c r="AH18" s="191">
        <f>AG18</f>
        <v>5119.0141529075154</v>
      </c>
      <c r="AI18" s="191"/>
      <c r="AJ18" s="36">
        <f>SUM(AG18+AJ17)</f>
        <v>13712.467555846757</v>
      </c>
      <c r="AK18" s="36">
        <f>SUM(AJ18+AK17)</f>
        <v>23978.609061697302</v>
      </c>
      <c r="AL18" s="36">
        <f>SUM(AK18+AL17)</f>
        <v>36243.022037055875</v>
      </c>
      <c r="AM18" s="191">
        <f>AL18</f>
        <v>36243.022037055875</v>
      </c>
      <c r="AN18" s="191"/>
      <c r="AO18" s="36">
        <f>SUM(AL18+AO17)</f>
        <v>52455.624023047611</v>
      </c>
      <c r="AP18" s="36">
        <f>SUM(AO18+AP17)</f>
        <v>71613.503740757806</v>
      </c>
      <c r="AQ18" s="36">
        <f>SUM(AP18+AQ17)</f>
        <v>94251.717865509258</v>
      </c>
      <c r="AR18" s="191">
        <f>AQ18</f>
        <v>94251.717865509258</v>
      </c>
      <c r="AS18" s="191"/>
      <c r="AT18" s="36">
        <f>SUM(AQ18+AT17)</f>
        <v>125496.4650988784</v>
      </c>
      <c r="AU18" s="36">
        <f>SUM(AT18+AU17)</f>
        <v>162146.1133453908</v>
      </c>
      <c r="AV18" s="36">
        <f>SUM(AU18+AV17)</f>
        <v>205135.63432185003</v>
      </c>
      <c r="AW18" s="191">
        <f>AV18</f>
        <v>205135.63432185003</v>
      </c>
      <c r="AX18" s="191"/>
      <c r="AY18" s="36">
        <f>SUM(AV18+AY17)</f>
        <v>266531.67388492957</v>
      </c>
      <c r="AZ18" s="36">
        <f>SUM(AY18+AZ17)</f>
        <v>337872.13381408615</v>
      </c>
      <c r="BA18" s="36">
        <f>SUM(AZ18+BA17)</f>
        <v>420767.72869483707</v>
      </c>
      <c r="BB18" s="191">
        <f>BA18</f>
        <v>420767.72869483707</v>
      </c>
      <c r="BC18" s="191"/>
      <c r="BD18" s="36">
        <f>SUM(BA18+BD17)</f>
        <v>541262.18607726705</v>
      </c>
      <c r="BE18" s="36">
        <f>SUM(BD18+BE17)</f>
        <v>679944.89295178105</v>
      </c>
      <c r="BF18" s="36">
        <f>SUM(BE18+BF17)</f>
        <v>839561.30688358773</v>
      </c>
      <c r="BG18" s="191">
        <f>BF18</f>
        <v>839561.30688358773</v>
      </c>
      <c r="BH18" s="191"/>
      <c r="BI18" s="36">
        <f>SUM(BF18+BI17)</f>
        <v>1080807.4213531211</v>
      </c>
      <c r="BJ18" s="36">
        <f>SUM(BI18+BJ17)</f>
        <v>1355804.6996445274</v>
      </c>
      <c r="BK18" s="36">
        <f>SUM(BJ18+BK17)</f>
        <v>1669275.0460331801</v>
      </c>
      <c r="BL18" s="191">
        <f>BK18</f>
        <v>1669275.0460331801</v>
      </c>
      <c r="BM18" s="191"/>
      <c r="BN18" s="36">
        <f>SUM(BL18+BN17)</f>
        <v>2154416.2312240964</v>
      </c>
      <c r="BO18" s="36">
        <f>SUM(BN18+BO17)</f>
        <v>2702056.8114779564</v>
      </c>
      <c r="BP18" s="36">
        <f>SUM(BO18+BP17)</f>
        <v>3320248.4107394414</v>
      </c>
      <c r="BQ18" s="191">
        <f>BP18</f>
        <v>3320248.4107394414</v>
      </c>
      <c r="BR18" s="191"/>
      <c r="BS18" s="36">
        <f>SUM(BP18+BS17)</f>
        <v>4300699.3691520281</v>
      </c>
      <c r="BT18" s="36">
        <f>SUM(BS18+BT17)</f>
        <v>5396544.0493095443</v>
      </c>
      <c r="BU18" s="36">
        <f>SUM(BT18+BU17)</f>
        <v>6621363.6618823372</v>
      </c>
      <c r="BV18" s="191">
        <f>BU18</f>
        <v>6621363.6618823372</v>
      </c>
      <c r="BW18" s="191"/>
      <c r="BX18" s="36">
        <f>SUM(BU18+BX17)</f>
        <v>8681665.7753194012</v>
      </c>
      <c r="BY18" s="36">
        <f>SUM(BX18+BY17)</f>
        <v>10971589.438669065</v>
      </c>
      <c r="BZ18" s="36">
        <f>SUM(BY18+BZ17)</f>
        <v>13516726.071675252</v>
      </c>
      <c r="CA18" s="191">
        <f>BZ18</f>
        <v>13516726.071675252</v>
      </c>
      <c r="CB18" s="191"/>
      <c r="CC18" s="36">
        <f>SUM(BZ18+CC17)</f>
        <v>17895558.330889244</v>
      </c>
      <c r="CD18" s="36">
        <f>SUM(CC18+CD17)</f>
        <v>22755913.128949624</v>
      </c>
      <c r="CE18" s="36">
        <f>SUM(CD18+CE17)</f>
        <v>28150741.559136841</v>
      </c>
      <c r="CF18" s="191">
        <f>CE18</f>
        <v>28150741.559136841</v>
      </c>
      <c r="CG18" s="198"/>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5"/>
      <c r="B19" s="160"/>
      <c r="C19" s="323"/>
      <c r="D19" s="40"/>
      <c r="E19" s="42"/>
      <c r="F19" s="64"/>
      <c r="G19" s="31"/>
      <c r="H19" s="31"/>
      <c r="I19" s="31"/>
      <c r="J19" s="30"/>
      <c r="K19" s="31"/>
      <c r="L19" s="31"/>
      <c r="M19" s="31"/>
      <c r="N19" s="31"/>
      <c r="O19" s="30"/>
      <c r="P19" s="31"/>
      <c r="Q19" s="31"/>
      <c r="R19" s="31"/>
      <c r="S19" s="31"/>
      <c r="T19" s="108"/>
      <c r="U19" s="160"/>
      <c r="V19" s="31"/>
      <c r="W19" s="65"/>
      <c r="X19" s="169"/>
      <c r="Y19" s="64"/>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56" t="s">
        <v>190</v>
      </c>
      <c r="B20" s="292"/>
      <c r="C20" s="324"/>
      <c r="D20" s="302"/>
      <c r="E20" s="303"/>
      <c r="F20" s="100"/>
      <c r="G20" s="76"/>
      <c r="H20" s="76"/>
      <c r="I20" s="76"/>
      <c r="J20" s="275"/>
      <c r="K20" s="76"/>
      <c r="L20" s="76"/>
      <c r="M20" s="76"/>
      <c r="N20" s="76"/>
      <c r="O20" s="275"/>
      <c r="P20" s="76"/>
      <c r="Q20" s="76"/>
      <c r="R20" s="76"/>
      <c r="S20" s="76"/>
      <c r="T20" s="273"/>
      <c r="U20" s="274"/>
      <c r="V20" s="275"/>
      <c r="W20" s="276"/>
      <c r="X20" s="176"/>
      <c r="Y20" s="505"/>
      <c r="Z20" s="71"/>
      <c r="AA20" s="71"/>
      <c r="AB20" s="71"/>
      <c r="AC20" s="285"/>
      <c r="AD20" s="72"/>
      <c r="AE20" s="71"/>
      <c r="AF20" s="71"/>
      <c r="AG20" s="71"/>
      <c r="AH20" s="285"/>
      <c r="AI20" s="72"/>
      <c r="AJ20" s="71"/>
      <c r="AK20" s="71"/>
      <c r="AL20" s="71"/>
      <c r="AM20" s="285"/>
      <c r="AN20" s="72"/>
      <c r="AO20" s="71"/>
      <c r="AP20" s="71"/>
      <c r="AQ20" s="71"/>
      <c r="AR20" s="285"/>
      <c r="AS20" s="72"/>
      <c r="AT20" s="71"/>
      <c r="AU20" s="71"/>
      <c r="AV20" s="71"/>
      <c r="AW20" s="285"/>
      <c r="AX20" s="72"/>
      <c r="AY20" s="71"/>
      <c r="AZ20" s="71"/>
      <c r="BA20" s="71"/>
      <c r="BB20" s="285"/>
      <c r="BC20" s="72"/>
      <c r="BD20" s="71"/>
      <c r="BE20" s="71"/>
      <c r="BF20" s="71"/>
      <c r="BG20" s="285"/>
      <c r="BH20" s="72"/>
      <c r="BI20" s="71"/>
      <c r="BJ20" s="71"/>
      <c r="BK20" s="71"/>
      <c r="BL20" s="285"/>
      <c r="BM20" s="72"/>
      <c r="BN20" s="71"/>
      <c r="BO20" s="71"/>
      <c r="BP20" s="71"/>
      <c r="BQ20" s="285"/>
      <c r="BR20" s="72"/>
      <c r="BS20" s="71"/>
      <c r="BT20" s="71"/>
      <c r="BU20" s="71"/>
      <c r="BV20" s="285"/>
      <c r="BW20" s="72"/>
      <c r="BX20" s="71"/>
      <c r="BY20" s="71"/>
      <c r="BZ20" s="71"/>
      <c r="CA20" s="285"/>
      <c r="CB20" s="72"/>
      <c r="CC20" s="71"/>
      <c r="CD20" s="71"/>
      <c r="CE20" s="71"/>
      <c r="CF20" s="285"/>
      <c r="CG20" s="89"/>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57" t="s">
        <v>191</v>
      </c>
      <c r="B21" s="367">
        <v>0.5</v>
      </c>
      <c r="C21" s="304">
        <v>7.0000000000000007E-2</v>
      </c>
      <c r="D21" s="121"/>
      <c r="E21" s="120"/>
      <c r="F21" s="129">
        <v>0</v>
      </c>
      <c r="G21" s="128">
        <v>0</v>
      </c>
      <c r="H21" s="33">
        <f>SUM(IF(ISBLANK(D21),B21,D21))</f>
        <v>0.5</v>
      </c>
      <c r="I21" s="33">
        <f>SUM(IF((1*(IF(ISBLANK(E21),C21,E21)))+IF(ISBLANK(D21),B21,D21) &lt; 0, 0, (1*(IF(ISBLANK(E21),C21,E21)))+IF(ISBLANK(D21),B21,D21)))</f>
        <v>0.57000000000000006</v>
      </c>
      <c r="J21" s="282">
        <f>SUM(AC21+AH21+AM21+AR21)</f>
        <v>161409.93133600935</v>
      </c>
      <c r="K21" s="33">
        <f>SUM(IF((2*(IF(ISBLANK(E21),C21,E21)))+IF(ISBLANK(D21),B21,D21) &lt; 0, 0, (2*(IF(ISBLANK(E21),C21,E21)))+IF(ISBLANK(D21),B21,D21)))</f>
        <v>0.64</v>
      </c>
      <c r="L21" s="33">
        <f>SUM(IF((3*(IF(ISBLANK(E21),C21,E21)))+IF(ISBLANK(D21),B21,D21) &lt; 0, 0, (3*(IF(ISBLANK(E21),C21,E21)))+IF(ISBLANK(D21),B21,D21)))</f>
        <v>0.71</v>
      </c>
      <c r="M21" s="33">
        <f>SUM(IF((4*(IF(ISBLANK(E21),C21,E21)))+IF(ISBLANK(D21),B21,D21) &lt; 0, 0, (4*(IF(ISBLANK(E21),C21,E21)))+IF(ISBLANK(D21),B21,D21)))</f>
        <v>0.78</v>
      </c>
      <c r="N21" s="33">
        <f>SUM(IF((5*(IF(ISBLANK(E21),C21,E21)))+IF(ISBLANK(D21),B21,D21) &lt; 0, 0, (5*(IF(ISBLANK(E21),C21,E21)))+IF(ISBLANK(D21),B21,D21)))</f>
        <v>0.85000000000000009</v>
      </c>
      <c r="O21" s="282">
        <f>SUM(AW21+BB21+BG21+BL21)</f>
        <v>6140653.2799980119</v>
      </c>
      <c r="P21" s="33">
        <f>SUM(IF((6*(IF(ISBLANK(E21),C21,E21)))+IF(ISBLANK(D21),B21,D21) &lt; 0, 0, (6*(IF(ISBLANK(E21),C21,E21)))+IF(ISBLANK(D21),B21,D21)))</f>
        <v>0.92</v>
      </c>
      <c r="Q21" s="33">
        <f>SUM(IF((7*(IF(ISBLANK(E21),C21,E21)))+IF(ISBLANK(D21),B21,D21) &lt; 0, 0, (7*(IF(ISBLANK(E21),C21,E21)))+IF(ISBLANK(D21),B21,D21)))</f>
        <v>0.99</v>
      </c>
      <c r="R21" s="33">
        <f>SUM(IF((8*(IF(ISBLANK(E21),C21,E21)))+IF(ISBLANK(D21),B21,D21) &lt; 0, 0, (8*(IF(ISBLANK(E21),C21,E21)))+IF(ISBLANK(D21),B21,D21)))</f>
        <v>1.06</v>
      </c>
      <c r="S21" s="33">
        <f>SUM(IF((9*(IF(ISBLANK(E21),C21,E21)))+IF(ISBLANK(D21),B21,D21) &lt; 0, 0, (9*(IF(ISBLANK(E21),C21,E21)))+IF(ISBLANK(D21),B21,D21)))</f>
        <v>1.1300000000000001</v>
      </c>
      <c r="T21" s="305">
        <f>SUM(BQ21+BV21+CA21+CF21)</f>
        <v>136584685.62095276</v>
      </c>
      <c r="U21" s="278">
        <f>SUM(IF((11*(IF(ISBLANK(E21),C21,E21)))+IF(ISBLANK(D21),B21,D21) &lt; 0, 0, (11*(IF(ISBLANK(E21),C21,E21)))+IF(ISBLANK(D21),B21,D21)))*12</f>
        <v>15.24</v>
      </c>
      <c r="V21" s="279">
        <f>SUM(IF((13*(IF(ISBLANK(E21),C21,E21)))+IF(ISBLANK(D21),B21,D21) &lt; 0, 0, (13*(IF(ISBLANK(E21),C21,E21)))+IF(ISBLANK(D21),B21,D21)))*12</f>
        <v>16.920000000000002</v>
      </c>
      <c r="W21" s="280">
        <f>SUM(IF((15*(IF(ISBLANK(E21),C21,E21)))+IF(ISBLANK(D21),B21,D21) &lt; 0, 0, (15*(IF(ISBLANK(E21),C21,E21)))+IF(ISBLANK(D21),B21,D21)))*12</f>
        <v>18.600000000000001</v>
      </c>
      <c r="X21" s="177"/>
      <c r="Y21" s="505">
        <v>0</v>
      </c>
      <c r="Z21" s="73">
        <f>SUM(Z18*F21)</f>
        <v>0</v>
      </c>
      <c r="AA21" s="73">
        <f>SUM(AA18*F21)</f>
        <v>0</v>
      </c>
      <c r="AB21" s="73">
        <f>SUM(AB18*F21)</f>
        <v>0</v>
      </c>
      <c r="AC21" s="282">
        <f t="shared" ref="AC21:AC29" si="106">SUM(Z21:AB21)</f>
        <v>0</v>
      </c>
      <c r="AD21" s="74"/>
      <c r="AE21" s="73">
        <f>SUM(AE18*G21)</f>
        <v>0</v>
      </c>
      <c r="AF21" s="73">
        <f>SUM(AF18*G21)</f>
        <v>0</v>
      </c>
      <c r="AG21" s="73">
        <f>SUM(AG18*G21)</f>
        <v>0</v>
      </c>
      <c r="AH21" s="282">
        <f t="shared" ref="AH21:AH29" si="107">SUM(AE21:AG21)</f>
        <v>0</v>
      </c>
      <c r="AI21" s="74"/>
      <c r="AJ21" s="73">
        <f>SUM(AJ18*H21)</f>
        <v>6856.2337779233785</v>
      </c>
      <c r="AK21" s="73">
        <f>SUM(AK18*H21)</f>
        <v>11989.304530848651</v>
      </c>
      <c r="AL21" s="73">
        <f>SUM(AL18*H21)</f>
        <v>18121.511018527937</v>
      </c>
      <c r="AM21" s="282">
        <f t="shared" ref="AM21:AM29" si="108">SUM(AJ21:AL21)</f>
        <v>36967.049327299967</v>
      </c>
      <c r="AN21" s="74"/>
      <c r="AO21" s="73">
        <f>SUM(AO18*I21)</f>
        <v>29899.705693137141</v>
      </c>
      <c r="AP21" s="73">
        <f>SUM(AP18*I21)</f>
        <v>40819.697132231951</v>
      </c>
      <c r="AQ21" s="73">
        <f>SUM(AQ18*I21)</f>
        <v>53723.479183340285</v>
      </c>
      <c r="AR21" s="282">
        <f t="shared" ref="AR21:AR29" si="109">SUM(AO21:AQ21)</f>
        <v>124442.88200870938</v>
      </c>
      <c r="AS21" s="74"/>
      <c r="AT21" s="73">
        <f>SUM(AT18*K21)</f>
        <v>80317.737663282183</v>
      </c>
      <c r="AU21" s="73">
        <f>SUM(AU18*K21)</f>
        <v>103773.51254105011</v>
      </c>
      <c r="AV21" s="73">
        <f>SUM(AV18*K21)</f>
        <v>131286.80596598401</v>
      </c>
      <c r="AW21" s="282">
        <f t="shared" ref="AW21:AW29" si="110">SUM(AT21:AV21)</f>
        <v>315378.0561703163</v>
      </c>
      <c r="AX21" s="74"/>
      <c r="AY21" s="73">
        <f>SUM(AY18*L21)</f>
        <v>189237.48845829998</v>
      </c>
      <c r="AZ21" s="73">
        <f>SUM(AZ18*L21)</f>
        <v>239889.21500800116</v>
      </c>
      <c r="BA21" s="73">
        <f>SUM(BA18*L21)</f>
        <v>298745.08737333433</v>
      </c>
      <c r="BB21" s="282">
        <f t="shared" ref="BB21:BB29" si="111">SUM(AY21:BA21)</f>
        <v>727871.79083963553</v>
      </c>
      <c r="BC21" s="74"/>
      <c r="BD21" s="73">
        <f>SUM(BD18*M21)</f>
        <v>422184.5051402683</v>
      </c>
      <c r="BE21" s="73">
        <f>SUM(BE18*M21)</f>
        <v>530357.01650238922</v>
      </c>
      <c r="BF21" s="73">
        <f>SUM(BF18*M21)</f>
        <v>654857.81936919841</v>
      </c>
      <c r="BG21" s="282">
        <f t="shared" ref="BG21:BG29" si="112">SUM(BD21:BF21)</f>
        <v>1607399.3410118558</v>
      </c>
      <c r="BH21" s="74"/>
      <c r="BI21" s="73">
        <f>SUM(BI18*N21)</f>
        <v>918686.30815015303</v>
      </c>
      <c r="BJ21" s="73">
        <f>SUM(BJ18*N21)</f>
        <v>1152433.9946978483</v>
      </c>
      <c r="BK21" s="73">
        <f>SUM(BK18*N21)</f>
        <v>1418883.7891282032</v>
      </c>
      <c r="BL21" s="282">
        <f t="shared" ref="BL21:BL29" si="113">SUM(BI21:BK21)</f>
        <v>3490004.0919762049</v>
      </c>
      <c r="BM21" s="74"/>
      <c r="BN21" s="73">
        <f>SUM(BN18*P21)</f>
        <v>1982062.9327261688</v>
      </c>
      <c r="BO21" s="73">
        <f>SUM(BO18*P21)</f>
        <v>2485892.26655972</v>
      </c>
      <c r="BP21" s="73">
        <f>SUM(BP18*P21)</f>
        <v>3054628.5378802861</v>
      </c>
      <c r="BQ21" s="282">
        <f t="shared" ref="BQ21:BQ29" si="114">SUM(BN21:BP21)</f>
        <v>7522583.7371661756</v>
      </c>
      <c r="BR21" s="74"/>
      <c r="BS21" s="73">
        <f>SUM(BS18*Q21)</f>
        <v>4257692.3754605073</v>
      </c>
      <c r="BT21" s="73">
        <f>SUM(BT18*Q21)</f>
        <v>5342578.6088164486</v>
      </c>
      <c r="BU21" s="73">
        <f>SUM(BU18*Q21)</f>
        <v>6555150.0252635134</v>
      </c>
      <c r="BV21" s="282">
        <f t="shared" ref="BV21:BV29" si="115">SUM(BS21:BU21)</f>
        <v>16155421.009540468</v>
      </c>
      <c r="BW21" s="74"/>
      <c r="BX21" s="73">
        <f>SUM(BX18*R21)</f>
        <v>9202565.7218385655</v>
      </c>
      <c r="BY21" s="73">
        <f>SUM(BY18*R21)</f>
        <v>11629884.804989209</v>
      </c>
      <c r="BZ21" s="73">
        <f>SUM(BZ18*R21)</f>
        <v>14327729.635975769</v>
      </c>
      <c r="CA21" s="282">
        <f t="shared" ref="CA21:CA29" si="116">SUM(BX21:BZ21)</f>
        <v>35160180.162803546</v>
      </c>
      <c r="CB21" s="74"/>
      <c r="CC21" s="73">
        <f>SUM(CC18*S21)</f>
        <v>20221980.913904846</v>
      </c>
      <c r="CD21" s="73">
        <f>SUM(CD18*S21)</f>
        <v>25714181.835713077</v>
      </c>
      <c r="CE21" s="73">
        <f>SUM(CE18*S21)</f>
        <v>31810337.961824633</v>
      </c>
      <c r="CF21" s="282">
        <f t="shared" ref="CF21:CF29" si="117">SUM(CC21:CE21)</f>
        <v>77746500.71144256</v>
      </c>
      <c r="CG21" s="88"/>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57" t="s">
        <v>192</v>
      </c>
      <c r="B22" s="367">
        <v>0.3</v>
      </c>
      <c r="C22" s="304">
        <v>7.0000000000000007E-2</v>
      </c>
      <c r="D22" s="121"/>
      <c r="E22" s="120"/>
      <c r="F22" s="129">
        <v>0</v>
      </c>
      <c r="G22" s="128">
        <v>0</v>
      </c>
      <c r="H22" s="33">
        <f t="shared" ref="H22" si="118">SUM(IF(ISBLANK(D22),B22,D22))</f>
        <v>0.3</v>
      </c>
      <c r="I22" s="33">
        <f t="shared" ref="I22" si="119">SUM(IF((1*(IF(ISBLANK(E22),C22,E22)))+IF(ISBLANK(D22),B22,D22) &lt; 0, 0, (1*(IF(ISBLANK(E22),C22,E22)))+IF(ISBLANK(D22),B22,D22)))</f>
        <v>0.37</v>
      </c>
      <c r="J22" s="282">
        <f>SUM(AC22+AH22+AM22+AR22)</f>
        <v>80778.712882846419</v>
      </c>
      <c r="K22" s="33">
        <f t="shared" ref="K22" si="120">SUM(IF((2*(IF(ISBLANK(E22),C22,E22)))+IF(ISBLANK(D22),B22,D22) &lt; 0, 0, (2*(IF(ISBLANK(E22),C22,E22)))+IF(ISBLANK(D22),B22,D22)))</f>
        <v>0.44</v>
      </c>
      <c r="L22" s="33">
        <f t="shared" ref="L22" si="121">SUM(IF((3*(IF(ISBLANK(E22),C22,E22)))+IF(ISBLANK(D22),B22,D22) &lt; 0, 0, (3*(IF(ISBLANK(E22),C22,E22)))+IF(ISBLANK(D22),B22,D22)))</f>
        <v>0.51</v>
      </c>
      <c r="M22" s="33">
        <f t="shared" ref="M22" si="122">SUM(IF((4*(IF(ISBLANK(E22),C22,E22)))+IF(ISBLANK(D22),B22,D22) &lt; 0, 0, (4*(IF(ISBLANK(E22),C22,E22)))+IF(ISBLANK(D22),B22,D22)))</f>
        <v>0.58000000000000007</v>
      </c>
      <c r="N22" s="33">
        <f t="shared" ref="N22" si="123">SUM(IF((5*(IF(ISBLANK(E22),C22,E22)))+IF(ISBLANK(D22),B22,D22) &lt; 0, 0, (5*(IF(ISBLANK(E22),C22,E22)))+IF(ISBLANK(D22),B22,D22)))</f>
        <v>0.65</v>
      </c>
      <c r="O22" s="282">
        <f t="shared" ref="O22:O29" si="124">SUM(AW22+BB22+BG22+BL22)</f>
        <v>4603732.2195773255</v>
      </c>
      <c r="P22" s="33">
        <f t="shared" ref="P22" si="125">SUM(IF((6*(IF(ISBLANK(E22),C22,E22)))+IF(ISBLANK(D22),B22,D22) &lt; 0, 0, (6*(IF(ISBLANK(E22),C22,E22)))+IF(ISBLANK(D22),B22,D22)))</f>
        <v>0.72</v>
      </c>
      <c r="Q22" s="33">
        <f t="shared" ref="Q22" si="126">SUM(IF((7*(IF(ISBLANK(E22),C22,E22)))+IF(ISBLANK(D22),B22,D22) &lt; 0, 0, (7*(IF(ISBLANK(E22),C22,E22)))+IF(ISBLANK(D22),B22,D22)))</f>
        <v>0.79</v>
      </c>
      <c r="R22" s="33">
        <f t="shared" ref="R22" si="127">SUM(IF((8*(IF(ISBLANK(E22),C22,E22)))+IF(ISBLANK(D22),B22,D22) &lt; 0, 0, (8*(IF(ISBLANK(E22),C22,E22)))+IF(ISBLANK(D22),B22,D22)))</f>
        <v>0.8600000000000001</v>
      </c>
      <c r="S22" s="33">
        <f t="shared" ref="S22" si="128">SUM(IF((9*(IF(ISBLANK(E22),C22,E22)))+IF(ISBLANK(D22),B22,D22) &lt; 0, 0, (9*(IF(ISBLANK(E22),C22,E22)))+IF(ISBLANK(D22),B22,D22)))</f>
        <v>0.93000000000000016</v>
      </c>
      <c r="T22" s="305">
        <f t="shared" ref="T22:T29" si="129">SUM(BQ22+BV22+CA22+CF22)</f>
        <v>111291181.05326778</v>
      </c>
      <c r="U22" s="278">
        <f>SUM(IF((11*(IF(ISBLANK(E22),C22,E22)))+IF(ISBLANK(D22),B22,D22) &lt; 0, 0, (11*(IF(ISBLANK(E22),C22,E22)))+IF(ISBLANK(D22),B22,D22)))*12</f>
        <v>12.84</v>
      </c>
      <c r="V22" s="279">
        <f>SUM(IF((13*(IF(ISBLANK(E22),C22,E22)))+IF(ISBLANK(D22),B22,D22) &lt; 0, 0, (13*(IF(ISBLANK(E22),C22,E22)))+IF(ISBLANK(D22),B22,D22)))*12</f>
        <v>14.520000000000003</v>
      </c>
      <c r="W22" s="280">
        <f>SUM(IF((15*(IF(ISBLANK(E22),C22,E22)))+IF(ISBLANK(D22),B22,D22) &lt; 0, 0, (15*(IF(ISBLANK(E22),C22,E22)))+IF(ISBLANK(D22),B22,D22)))*12</f>
        <v>16.200000000000003</v>
      </c>
      <c r="X22" s="177"/>
      <c r="Y22" s="505">
        <v>0</v>
      </c>
      <c r="Z22" s="73">
        <f>SUM(Z18*F22)</f>
        <v>0</v>
      </c>
      <c r="AA22" s="73">
        <f>SUM(AA18*F22)</f>
        <v>0</v>
      </c>
      <c r="AB22" s="73">
        <f>SUM(AB18*F22)</f>
        <v>0</v>
      </c>
      <c r="AC22" s="282">
        <f t="shared" si="106"/>
        <v>0</v>
      </c>
      <c r="AD22" s="74"/>
      <c r="AE22" s="73">
        <f>SUM(AE18*G22)</f>
        <v>0</v>
      </c>
      <c r="AF22" s="73">
        <f>SUM(AF18*G22)</f>
        <v>0</v>
      </c>
      <c r="AG22" s="73">
        <f>SUM(AG18*G22)</f>
        <v>0</v>
      </c>
      <c r="AH22" s="282">
        <f t="shared" si="107"/>
        <v>0</v>
      </c>
      <c r="AI22" s="74"/>
      <c r="AJ22" s="73">
        <f t="shared" ref="AJ22:AJ28" si="130">SUM(AJ19*H22)</f>
        <v>0</v>
      </c>
      <c r="AK22" s="73">
        <f t="shared" ref="AK22:AK28" si="131">SUM(AK19*H22)</f>
        <v>0</v>
      </c>
      <c r="AL22" s="73">
        <f t="shared" ref="AL22:AL28" si="132">SUM(AL19*H22)</f>
        <v>0</v>
      </c>
      <c r="AM22" s="282">
        <f t="shared" si="108"/>
        <v>0</v>
      </c>
      <c r="AN22" s="74"/>
      <c r="AO22" s="73">
        <f>SUM(AO18*I22)</f>
        <v>19408.580888527616</v>
      </c>
      <c r="AP22" s="73">
        <f>SUM(AP18*I22)</f>
        <v>26496.996384080387</v>
      </c>
      <c r="AQ22" s="73">
        <f>SUM(AQ18*I22)</f>
        <v>34873.135610238423</v>
      </c>
      <c r="AR22" s="282">
        <f t="shared" si="109"/>
        <v>80778.712882846419</v>
      </c>
      <c r="AS22" s="74"/>
      <c r="AT22" s="73">
        <f>SUM(AT18*K22)</f>
        <v>55218.444643506497</v>
      </c>
      <c r="AU22" s="73">
        <f>SUM(AU18*K22)</f>
        <v>71344.289871971952</v>
      </c>
      <c r="AV22" s="73">
        <f>SUM(AV18*K22)</f>
        <v>90259.679101614005</v>
      </c>
      <c r="AW22" s="282">
        <f t="shared" si="110"/>
        <v>216822.41361709248</v>
      </c>
      <c r="AX22" s="74"/>
      <c r="AY22" s="73">
        <f>SUM(AY18*L22)</f>
        <v>135931.15368131408</v>
      </c>
      <c r="AZ22" s="73">
        <f>SUM(AZ18*L22)</f>
        <v>172314.78824518394</v>
      </c>
      <c r="BA22" s="73">
        <f>SUM(BA18*L22)</f>
        <v>214591.54163436691</v>
      </c>
      <c r="BB22" s="282">
        <f t="shared" si="111"/>
        <v>522837.48356086493</v>
      </c>
      <c r="BC22" s="74"/>
      <c r="BD22" s="73">
        <f>SUM(BD18*M22)</f>
        <v>313932.06792481494</v>
      </c>
      <c r="BE22" s="73">
        <f>SUM(BE18*M22)</f>
        <v>394368.03791203303</v>
      </c>
      <c r="BF22" s="73">
        <f>SUM(BF18*M22)</f>
        <v>486945.55799248093</v>
      </c>
      <c r="BG22" s="282">
        <f t="shared" si="112"/>
        <v>1195245.663829329</v>
      </c>
      <c r="BH22" s="74"/>
      <c r="BI22" s="73">
        <f>SUM(BI18*N22)</f>
        <v>702524.82387952867</v>
      </c>
      <c r="BJ22" s="73">
        <f>SUM(BJ18*N22)</f>
        <v>881273.05476894288</v>
      </c>
      <c r="BK22" s="73">
        <f>SUM(BK18*N22)</f>
        <v>1085028.7799215671</v>
      </c>
      <c r="BL22" s="282">
        <f t="shared" si="113"/>
        <v>2668826.6585700386</v>
      </c>
      <c r="BM22" s="74"/>
      <c r="BN22" s="73">
        <f>SUM(BN18*P22)</f>
        <v>1551179.6864813494</v>
      </c>
      <c r="BO22" s="73">
        <f>SUM(BO18*P22)</f>
        <v>1945480.9042641285</v>
      </c>
      <c r="BP22" s="73">
        <f>SUM(BP18*P22)</f>
        <v>2390578.8557323976</v>
      </c>
      <c r="BQ22" s="282">
        <f t="shared" si="114"/>
        <v>5887239.4464778751</v>
      </c>
      <c r="BR22" s="74"/>
      <c r="BS22" s="73">
        <f>SUM(BS18*Q22)</f>
        <v>3397552.5016301023</v>
      </c>
      <c r="BT22" s="73">
        <f>SUM(BT18*Q22)</f>
        <v>4263269.7989545399</v>
      </c>
      <c r="BU22" s="73">
        <f>SUM(BU18*Q22)</f>
        <v>5230877.2928870469</v>
      </c>
      <c r="BV22" s="282">
        <f t="shared" si="115"/>
        <v>12891699.593471689</v>
      </c>
      <c r="BW22" s="74"/>
      <c r="BX22" s="73">
        <f>SUM(BX18*R22)</f>
        <v>7466232.5667746859</v>
      </c>
      <c r="BY22" s="73">
        <f>SUM(BY18*R22)</f>
        <v>9435566.9172553979</v>
      </c>
      <c r="BZ22" s="73">
        <f>SUM(BZ18*R22)</f>
        <v>11624384.421640718</v>
      </c>
      <c r="CA22" s="282">
        <f t="shared" si="116"/>
        <v>28526183.905670799</v>
      </c>
      <c r="CB22" s="74"/>
      <c r="CC22" s="73">
        <f>SUM(CC18*S22)</f>
        <v>16642869.247726999</v>
      </c>
      <c r="CD22" s="73">
        <f>SUM(CD18*S22)</f>
        <v>21162999.209923152</v>
      </c>
      <c r="CE22" s="73">
        <f>SUM(CE18*S22)</f>
        <v>26180189.649997268</v>
      </c>
      <c r="CF22" s="282">
        <f t="shared" si="117"/>
        <v>63986058.107647419</v>
      </c>
      <c r="CG22" s="88"/>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57" t="s">
        <v>193</v>
      </c>
      <c r="B23" s="367">
        <v>0.1</v>
      </c>
      <c r="C23" s="304">
        <v>7.0000000000000007E-2</v>
      </c>
      <c r="D23" s="121"/>
      <c r="E23" s="120"/>
      <c r="F23" s="129">
        <v>0</v>
      </c>
      <c r="G23" s="128">
        <v>0</v>
      </c>
      <c r="H23" s="360">
        <v>0</v>
      </c>
      <c r="I23" s="360">
        <v>0</v>
      </c>
      <c r="J23" s="282">
        <f t="shared" ref="J23:J29" si="133">SUM(AC23+AH23+AM23+AR23)</f>
        <v>0</v>
      </c>
      <c r="K23" s="33">
        <f>SUM(IF((0*(IF(ISBLANK(E23),C23,E23)))+IF(ISBLANK(D23),B23,D23) &lt; 0, 0, (0*(IF(ISBLANK(E23),C23,E23)))+IF(ISBLANK(D23),B23,D23)))</f>
        <v>0.1</v>
      </c>
      <c r="L23" s="33">
        <f>SUM(IF((1*(IF(ISBLANK(E23),C23,E23)))+IF(ISBLANK(D23),B23,D23) &lt; 0, 0, (1*(IF(ISBLANK(E23),C23,E23)))+IF(ISBLANK(D23),B23,D23)))</f>
        <v>0.17</v>
      </c>
      <c r="M23" s="33">
        <f>SUM(IF((2*(IF(ISBLANK(E23),C23,E23)))+IF(ISBLANK(D23),B23,D23) &lt; 0, 0, (2*(IF(ISBLANK(E23),C23,E23)))+IF(ISBLANK(D23),B23,D23)))</f>
        <v>0.24000000000000002</v>
      </c>
      <c r="N23" s="33">
        <f>SUM(IF((3*(IF(ISBLANK(E23),C23,E23)))+IF(ISBLANK(D23),B23,D23) &lt; 0, 0, (3*(IF(ISBLANK(E23),C23,E23)))+IF(ISBLANK(D23),B23,D23)))</f>
        <v>0.31000000000000005</v>
      </c>
      <c r="O23" s="282">
        <f t="shared" si="124"/>
        <v>1990966.4168621567</v>
      </c>
      <c r="P23" s="33">
        <f>SUM(IF((4*(IF(ISBLANK(E23),C23,E23)))+IF(ISBLANK(D23),B23,D23) &lt; 0, 0, (4*(IF(ISBLANK(E23),C23,E23)))+IF(ISBLANK(D23),B23,D23)))</f>
        <v>0.38</v>
      </c>
      <c r="Q23" s="33">
        <f>SUM(IF((5*(IF(ISBLANK(E23),C23,E23)))+IF(ISBLANK(D23),B23,D23) &lt; 0, 0, (5*(IF(ISBLANK(E23),C23,E23)))+IF(ISBLANK(D23),B23,D23)))</f>
        <v>0.45000000000000007</v>
      </c>
      <c r="R23" s="33">
        <f>SUM(IF((6*(IF(ISBLANK(E23),C23,E23)))+IF(ISBLANK(D23),B23,D23) &lt; 0, 0, (6*(IF(ISBLANK(E23),C23,E23)))+IF(ISBLANK(D23),B23,D23)))</f>
        <v>0.52</v>
      </c>
      <c r="S23" s="33">
        <f>SUM(IF((7*(IF(ISBLANK(E23),C23,E23)))+IF(ISBLANK(D23),B23,D23) &lt; 0, 0, (7*(IF(ISBLANK(E23),C23,E23)))+IF(ISBLANK(D23),B23,D23)))</f>
        <v>0.59000000000000008</v>
      </c>
      <c r="T23" s="305">
        <f t="shared" si="129"/>
        <v>68292223.288203329</v>
      </c>
      <c r="U23" s="278">
        <f>SUM(IF((9*(IF(ISBLANK(E23),C23,E23)))+IF(ISBLANK(D23),B23,D23) &lt; 0, 0, (9*(IF(ISBLANK(E23),C23,E23)))+IF(ISBLANK(D23),B23,D23)))*12</f>
        <v>8.7600000000000016</v>
      </c>
      <c r="V23" s="279">
        <f>SUM(IF((11*(IF(ISBLANK(E23),C23,E23)))+IF(ISBLANK(D23),B23,D23) &lt; 0, 0, (11*(IF(ISBLANK(E23),C23,E23)))+IF(ISBLANK(D23),B23,D23)))*12</f>
        <v>10.44</v>
      </c>
      <c r="W23" s="280">
        <f>SUM(IF((13*(IF(ISBLANK(E23),C23,E23)))+IF(ISBLANK(D23),B23,D23) &lt; 0, 0, (13*(IF(ISBLANK(E23),C23,E23)))+IF(ISBLANK(D23),B23,D23)))*12</f>
        <v>12.120000000000003</v>
      </c>
      <c r="X23" s="177"/>
      <c r="Y23" s="505">
        <v>0</v>
      </c>
      <c r="Z23" s="73">
        <f>SUM(Z18*F23)</f>
        <v>0</v>
      </c>
      <c r="AA23" s="73">
        <f>SUM(AA18*F23)</f>
        <v>0</v>
      </c>
      <c r="AB23" s="73">
        <f>SUM(AB18*F23)</f>
        <v>0</v>
      </c>
      <c r="AC23" s="282">
        <f t="shared" si="106"/>
        <v>0</v>
      </c>
      <c r="AD23" s="74"/>
      <c r="AE23" s="73">
        <f>SUM(AE18*G23)</f>
        <v>0</v>
      </c>
      <c r="AF23" s="73">
        <f>SUM(AF18*G23)</f>
        <v>0</v>
      </c>
      <c r="AG23" s="73">
        <f>SUM(AG18*G23)</f>
        <v>0</v>
      </c>
      <c r="AH23" s="282">
        <f t="shared" si="107"/>
        <v>0</v>
      </c>
      <c r="AI23" s="74"/>
      <c r="AJ23" s="73">
        <f t="shared" si="130"/>
        <v>0</v>
      </c>
      <c r="AK23" s="73">
        <f t="shared" si="131"/>
        <v>0</v>
      </c>
      <c r="AL23" s="73">
        <f t="shared" si="132"/>
        <v>0</v>
      </c>
      <c r="AM23" s="282">
        <f t="shared" si="108"/>
        <v>0</v>
      </c>
      <c r="AN23" s="74"/>
      <c r="AO23" s="73">
        <f>SUM(AO18*I23)</f>
        <v>0</v>
      </c>
      <c r="AP23" s="73">
        <f>SUM(AP18*I23)</f>
        <v>0</v>
      </c>
      <c r="AQ23" s="73">
        <f>SUM(AQ18*I23)</f>
        <v>0</v>
      </c>
      <c r="AR23" s="282">
        <f t="shared" si="109"/>
        <v>0</v>
      </c>
      <c r="AS23" s="74"/>
      <c r="AT23" s="73">
        <f>SUM(AT18*K23)</f>
        <v>12549.64650988784</v>
      </c>
      <c r="AU23" s="73">
        <f>SUM(AU18*K23)</f>
        <v>16214.61133453908</v>
      </c>
      <c r="AV23" s="73">
        <f>SUM(AV18*K23)</f>
        <v>20513.563432185005</v>
      </c>
      <c r="AW23" s="282">
        <f t="shared" si="110"/>
        <v>49277.821276611925</v>
      </c>
      <c r="AX23" s="74"/>
      <c r="AY23" s="73">
        <f>SUM(AY18*L23)</f>
        <v>45310.384560438026</v>
      </c>
      <c r="AZ23" s="73">
        <f>SUM(AZ18*L23)</f>
        <v>57438.262748394649</v>
      </c>
      <c r="BA23" s="73">
        <f>SUM(BA18*L23)</f>
        <v>71530.513878122307</v>
      </c>
      <c r="BB23" s="282">
        <f t="shared" si="111"/>
        <v>174279.161186955</v>
      </c>
      <c r="BC23" s="74"/>
      <c r="BD23" s="73">
        <f>SUM(BD18*M23)</f>
        <v>129902.9246585441</v>
      </c>
      <c r="BE23" s="73">
        <f>SUM(BE18*M23)</f>
        <v>163186.77430842747</v>
      </c>
      <c r="BF23" s="73">
        <f>SUM(BF18*M23)</f>
        <v>201494.71365206107</v>
      </c>
      <c r="BG23" s="282">
        <f t="shared" si="112"/>
        <v>494584.41261903266</v>
      </c>
      <c r="BH23" s="74"/>
      <c r="BI23" s="73">
        <f>SUM(BI18*N23)</f>
        <v>335050.30061946757</v>
      </c>
      <c r="BJ23" s="73">
        <f>SUM(BJ18*N23)</f>
        <v>420299.45688980358</v>
      </c>
      <c r="BK23" s="73">
        <f>SUM(BK18*N23)</f>
        <v>517475.2642702859</v>
      </c>
      <c r="BL23" s="282">
        <f t="shared" si="113"/>
        <v>1272825.021779557</v>
      </c>
      <c r="BM23" s="74"/>
      <c r="BN23" s="73">
        <f>SUM(BN18*P23)</f>
        <v>818678.16786515666</v>
      </c>
      <c r="BO23" s="73">
        <f>SUM(BO18*P23)</f>
        <v>1026781.5883616235</v>
      </c>
      <c r="BP23" s="73">
        <f>SUM(BP18*P23)</f>
        <v>1261694.3960809878</v>
      </c>
      <c r="BQ23" s="282">
        <f t="shared" si="114"/>
        <v>3107154.1523077679</v>
      </c>
      <c r="BR23" s="74"/>
      <c r="BS23" s="73">
        <f>SUM(BS18*Q23)</f>
        <v>1935314.716118413</v>
      </c>
      <c r="BT23" s="73">
        <f>SUM(BT18*Q23)</f>
        <v>2428444.8221892952</v>
      </c>
      <c r="BU23" s="73">
        <f>SUM(BU18*Q23)</f>
        <v>2979613.6478470522</v>
      </c>
      <c r="BV23" s="282">
        <f t="shared" si="115"/>
        <v>7343373.1861547604</v>
      </c>
      <c r="BW23" s="74"/>
      <c r="BX23" s="73">
        <f>SUM(BX18*R23)</f>
        <v>4514466.203166089</v>
      </c>
      <c r="BY23" s="73">
        <f>SUM(BY18*R23)</f>
        <v>5705226.5081079137</v>
      </c>
      <c r="BZ23" s="73">
        <f>SUM(BZ18*R23)</f>
        <v>7028697.5572711313</v>
      </c>
      <c r="CA23" s="282">
        <f t="shared" si="116"/>
        <v>17248390.268545132</v>
      </c>
      <c r="CB23" s="74"/>
      <c r="CC23" s="73">
        <f>SUM(CC18*S23)</f>
        <v>10558379.415224655</v>
      </c>
      <c r="CD23" s="73">
        <f>SUM(CD18*S23)</f>
        <v>13425988.746080279</v>
      </c>
      <c r="CE23" s="73">
        <f>SUM(CE18*S23)</f>
        <v>16608937.519890739</v>
      </c>
      <c r="CF23" s="282">
        <f t="shared" si="117"/>
        <v>40593305.681195676</v>
      </c>
      <c r="CG23" s="88"/>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57" t="s">
        <v>194</v>
      </c>
      <c r="B24" s="367">
        <v>0.05</v>
      </c>
      <c r="C24" s="304">
        <v>0.1</v>
      </c>
      <c r="D24" s="121"/>
      <c r="E24" s="120"/>
      <c r="F24" s="129">
        <v>0</v>
      </c>
      <c r="G24" s="128">
        <v>0</v>
      </c>
      <c r="H24" s="360">
        <v>0</v>
      </c>
      <c r="I24" s="360">
        <v>0</v>
      </c>
      <c r="J24" s="282">
        <f t="shared" si="133"/>
        <v>0</v>
      </c>
      <c r="K24" s="33">
        <f>SUM(IF((0*(IF(ISBLANK(E24),C24,E24)))+IF(ISBLANK(D24),B24,D24) &lt; 0, 0, (0*(IF(ISBLANK(E24),C24,E24)))+IF(ISBLANK(D24),B24,D24)))</f>
        <v>0.05</v>
      </c>
      <c r="L24" s="33">
        <f>SUM(IF((1*(IF(ISBLANK(E24),C24,E24)))+IF(ISBLANK(D24),B24,D24) &lt; 0, 0, (1*(IF(ISBLANK(E24),C24,E24)))+IF(ISBLANK(D24),B24,D24)))</f>
        <v>0.15000000000000002</v>
      </c>
      <c r="M24" s="33">
        <f>SUM(IF((2*(IF(ISBLANK(E24),C24,E24)))+IF(ISBLANK(D24),B24,D24) &lt; 0, 0, (2*(IF(ISBLANK(E24),C24,E24)))+IF(ISBLANK(D24),B24,D24)))</f>
        <v>0.25</v>
      </c>
      <c r="N24" s="33">
        <f>SUM(IF((3*(IF(ISBLANK(E24),C24,E24)))+IF(ISBLANK(D24),B24,D24) &lt; 0, 0, (3*(IF(ISBLANK(E24),C24,E24)))+IF(ISBLANK(D24),B24,D24)))</f>
        <v>0.35000000000000003</v>
      </c>
      <c r="O24" s="282">
        <f t="shared" si="124"/>
        <v>2130667.246036333</v>
      </c>
      <c r="P24" s="33">
        <f>SUM(IF((4*(IF(ISBLANK(E24),C24,E24)))+IF(ISBLANK(D24),B24,D24) &lt; 0, 0, (4*(IF(ISBLANK(E24),C24,E24)))+IF(ISBLANK(D24),B24,D24)))</f>
        <v>0.45</v>
      </c>
      <c r="Q24" s="33">
        <f>SUM(IF((5*(IF(ISBLANK(E24),C24,E24)))+IF(ISBLANK(D24),B24,D24) &lt; 0, 0, (5*(IF(ISBLANK(E24),C24,E24)))+IF(ISBLANK(D24),B24,D24)))</f>
        <v>0.55000000000000004</v>
      </c>
      <c r="R24" s="33">
        <f>SUM(IF((6*(IF(ISBLANK(E24),C24,E24)))+IF(ISBLANK(D24),B24,D24) &lt; 0, 0, (6*(IF(ISBLANK(E24),C24,E24)))+IF(ISBLANK(D24),B24,D24)))</f>
        <v>0.65000000000000013</v>
      </c>
      <c r="S24" s="33">
        <f>SUM(IF((7*(IF(ISBLANK(E24),C24,E24)))+IF(ISBLANK(D24),B24,D24) &lt; 0, 0, (7*(IF(ISBLANK(E24),C24,E24)))+IF(ISBLANK(D24),B24,D24)))</f>
        <v>0.75000000000000011</v>
      </c>
      <c r="T24" s="305">
        <f t="shared" si="129"/>
        <v>85816906.14815104</v>
      </c>
      <c r="U24" s="278">
        <f>SUM(IF((9*(IF(ISBLANK(E24),C24,E24)))+IF(ISBLANK(D24),B24,D24) &lt; 0, 0, (9*(IF(ISBLANK(E24),C24,E24)))+IF(ISBLANK(D24),B24,D24)))*12</f>
        <v>11.4</v>
      </c>
      <c r="V24" s="279">
        <f>SUM(IF((11*(IF(ISBLANK(E24),C24,E24)))+IF(ISBLANK(D24),B24,D24) &lt; 0, 0, (11*(IF(ISBLANK(E24),C24,E24)))+IF(ISBLANK(D24),B24,D24)))*12</f>
        <v>13.8</v>
      </c>
      <c r="W24" s="280">
        <f>SUM(IF((13*(IF(ISBLANK(E24),C24,E24)))+IF(ISBLANK(D24),B24,D24) &lt; 0, 0, (13*(IF(ISBLANK(E24),C24,E24)))+IF(ISBLANK(D24),B24,D24)))*12</f>
        <v>16.200000000000003</v>
      </c>
      <c r="X24" s="177"/>
      <c r="Y24" s="505">
        <v>0</v>
      </c>
      <c r="Z24" s="73">
        <f>SUM(Z18*F24)</f>
        <v>0</v>
      </c>
      <c r="AA24" s="73">
        <f>SUM(AA18*F24)</f>
        <v>0</v>
      </c>
      <c r="AB24" s="73">
        <f>SUM(AB18*F24)</f>
        <v>0</v>
      </c>
      <c r="AC24" s="282">
        <f t="shared" si="106"/>
        <v>0</v>
      </c>
      <c r="AD24" s="74"/>
      <c r="AE24" s="73">
        <f>SUM(AE18*G24)</f>
        <v>0</v>
      </c>
      <c r="AF24" s="73">
        <f>SUM(AF18*G24)</f>
        <v>0</v>
      </c>
      <c r="AG24" s="73">
        <f>SUM(AG18*G24)</f>
        <v>0</v>
      </c>
      <c r="AH24" s="282">
        <f t="shared" si="107"/>
        <v>0</v>
      </c>
      <c r="AI24" s="74"/>
      <c r="AJ24" s="73">
        <f t="shared" si="130"/>
        <v>0</v>
      </c>
      <c r="AK24" s="73">
        <f t="shared" si="131"/>
        <v>0</v>
      </c>
      <c r="AL24" s="73">
        <f t="shared" si="132"/>
        <v>0</v>
      </c>
      <c r="AM24" s="282">
        <f t="shared" si="108"/>
        <v>0</v>
      </c>
      <c r="AN24" s="74"/>
      <c r="AO24" s="73">
        <f>SUM(AO18*I24)</f>
        <v>0</v>
      </c>
      <c r="AP24" s="73">
        <f>SUM(AP18*I24)</f>
        <v>0</v>
      </c>
      <c r="AQ24" s="73">
        <f>SUM(AQ18*I24)</f>
        <v>0</v>
      </c>
      <c r="AR24" s="282">
        <f t="shared" si="109"/>
        <v>0</v>
      </c>
      <c r="AS24" s="74"/>
      <c r="AT24" s="73">
        <f>SUM(AT18*K24)</f>
        <v>6274.8232549439199</v>
      </c>
      <c r="AU24" s="73">
        <f>SUM(AU18*K24)</f>
        <v>8107.3056672695402</v>
      </c>
      <c r="AV24" s="73">
        <f>SUM(AV18*K24)</f>
        <v>10256.781716092502</v>
      </c>
      <c r="AW24" s="282">
        <f t="shared" si="110"/>
        <v>24638.910638305962</v>
      </c>
      <c r="AX24" s="74"/>
      <c r="AY24" s="73">
        <f>SUM(AY18*L24)</f>
        <v>39979.751082739444</v>
      </c>
      <c r="AZ24" s="73">
        <f>SUM(AZ18*L24)</f>
        <v>50680.820072112932</v>
      </c>
      <c r="BA24" s="73">
        <f>SUM(BA18*L24)</f>
        <v>63115.15930422557</v>
      </c>
      <c r="BB24" s="282">
        <f t="shared" si="111"/>
        <v>153775.73045907792</v>
      </c>
      <c r="BC24" s="74"/>
      <c r="BD24" s="73">
        <f>SUM(BD18*M24)</f>
        <v>135315.54651931676</v>
      </c>
      <c r="BE24" s="73">
        <f>SUM(BE18*M24)</f>
        <v>169986.22323794526</v>
      </c>
      <c r="BF24" s="73">
        <f>SUM(BF18*M24)</f>
        <v>209890.32672089693</v>
      </c>
      <c r="BG24" s="282">
        <f t="shared" si="112"/>
        <v>515192.09647815896</v>
      </c>
      <c r="BH24" s="74"/>
      <c r="BI24" s="73">
        <f>SUM(BI18*N24)</f>
        <v>378282.59747359238</v>
      </c>
      <c r="BJ24" s="73">
        <f>SUM(BJ18*N24)</f>
        <v>474531.64487558464</v>
      </c>
      <c r="BK24" s="73">
        <f>SUM(BK18*N24)</f>
        <v>584246.26611161313</v>
      </c>
      <c r="BL24" s="282">
        <f t="shared" si="113"/>
        <v>1437060.5084607902</v>
      </c>
      <c r="BM24" s="74"/>
      <c r="BN24" s="73">
        <f>SUM(BN18*P24)</f>
        <v>969487.30405084335</v>
      </c>
      <c r="BO24" s="73">
        <f>SUM(BO18*P24)</f>
        <v>1215925.5651650804</v>
      </c>
      <c r="BP24" s="73">
        <f>SUM(BP18*P24)</f>
        <v>1494111.7848327486</v>
      </c>
      <c r="BQ24" s="282">
        <f t="shared" si="114"/>
        <v>3679524.6540486724</v>
      </c>
      <c r="BR24" s="74"/>
      <c r="BS24" s="73">
        <f>SUM(BS18*Q24)</f>
        <v>2365384.6530336156</v>
      </c>
      <c r="BT24" s="73">
        <f>SUM(BT18*Q24)</f>
        <v>2968099.2271202495</v>
      </c>
      <c r="BU24" s="73">
        <f>SUM(BU18*Q24)</f>
        <v>3641750.0140352859</v>
      </c>
      <c r="BV24" s="282">
        <f t="shared" si="115"/>
        <v>8975233.894189151</v>
      </c>
      <c r="BW24" s="74"/>
      <c r="BX24" s="73">
        <f>SUM(BX18*R24)</f>
        <v>5643082.7539576115</v>
      </c>
      <c r="BY24" s="73">
        <f>SUM(BY18*R24)</f>
        <v>7131533.1351348935</v>
      </c>
      <c r="BZ24" s="73">
        <f>SUM(BZ18*R24)</f>
        <v>8785871.9465889148</v>
      </c>
      <c r="CA24" s="282">
        <f t="shared" si="116"/>
        <v>21560487.83568142</v>
      </c>
      <c r="CB24" s="74"/>
      <c r="CC24" s="73">
        <f>SUM(CC18*S24)</f>
        <v>13421668.748166936</v>
      </c>
      <c r="CD24" s="73">
        <f>SUM(CD18*S24)</f>
        <v>17066934.84671222</v>
      </c>
      <c r="CE24" s="73">
        <f>SUM(CE18*S24)</f>
        <v>21113056.169352636</v>
      </c>
      <c r="CF24" s="282">
        <f t="shared" si="117"/>
        <v>51601659.764231794</v>
      </c>
      <c r="CG24" s="88"/>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57" t="s">
        <v>195</v>
      </c>
      <c r="B25" s="367">
        <v>0.1</v>
      </c>
      <c r="C25" s="374">
        <v>0.05</v>
      </c>
      <c r="D25" s="121"/>
      <c r="E25" s="120"/>
      <c r="F25" s="129">
        <v>0</v>
      </c>
      <c r="G25" s="128">
        <v>0</v>
      </c>
      <c r="H25" s="360">
        <v>0</v>
      </c>
      <c r="I25" s="360">
        <v>0</v>
      </c>
      <c r="J25" s="282">
        <f t="shared" si="133"/>
        <v>0</v>
      </c>
      <c r="K25" s="33">
        <f>SUM(IF((0*(IF(ISBLANK(E25),C25,E25)))+IF(ISBLANK(D25),B25,D25) &lt; 0, 0, (0*(IF(ISBLANK(E25),C25,E25)))+IF(ISBLANK(D25),B25,D25)))</f>
        <v>0.1</v>
      </c>
      <c r="L25" s="33">
        <f>SUM(IF((1*(IF(ISBLANK(E25),C25,E25)))+IF(ISBLANK(D25),B25,D25) &lt; 0, 0, (1*(IF(ISBLANK(E25),C25,E25)))+IF(ISBLANK(D25),B25,D25)))</f>
        <v>0.15000000000000002</v>
      </c>
      <c r="M25" s="33">
        <f>SUM(IF((2*(IF(ISBLANK(E25),C25,E25)))+IF(ISBLANK(D25),B25,D25) &lt; 0, 0, (2*(IF(ISBLANK(E25),C25,E25)))+IF(ISBLANK(D25),B25,D25)))</f>
        <v>0.2</v>
      </c>
      <c r="N25" s="33">
        <f>SUM(IF((3*(IF(ISBLANK(E25),C25,E25)))+IF(ISBLANK(D25),B25,D25) &lt; 0, 0, (3*(IF(ISBLANK(E25),C25,E25)))+IF(ISBLANK(D25),B25,D25)))</f>
        <v>0.25</v>
      </c>
      <c r="O25" s="282">
        <f t="shared" si="124"/>
        <v>1641679.0206759244</v>
      </c>
      <c r="P25" s="33">
        <f>SUM(IF((4*(IF(ISBLANK(E25),C25,E25)))+IF(ISBLANK(D25),B25,D25) &lt; 0, 0, (4*(IF(ISBLANK(E25),C25,E25)))+IF(ISBLANK(D25),B25,D25)))</f>
        <v>0.30000000000000004</v>
      </c>
      <c r="Q25" s="33">
        <f>SUM(IF((5*(IF(ISBLANK(E25),C25,E25)))+IF(ISBLANK(D25),B25,D25) &lt; 0, 0, (5*(IF(ISBLANK(E25),C25,E25)))+IF(ISBLANK(D25),B25,D25)))</f>
        <v>0.35</v>
      </c>
      <c r="R25" s="33">
        <f>SUM(IF((6*(IF(ISBLANK(E25),C25,E25)))+IF(ISBLANK(D25),B25,D25) &lt; 0, 0, (6*(IF(ISBLANK(E25),C25,E25)))+IF(ISBLANK(D25),B25,D25)))</f>
        <v>0.4</v>
      </c>
      <c r="S25" s="33">
        <f>SUM(IF((7*(IF(ISBLANK(E25),C25,E25)))+IF(ISBLANK(D25),B25,D25) &lt; 0, 0, (7*(IF(ISBLANK(E25),C25,E25)))+IF(ISBLANK(D25),B25,D25)))</f>
        <v>0.45000000000000007</v>
      </c>
      <c r="T25" s="305">
        <f t="shared" si="129"/>
        <v>52393517.286957383</v>
      </c>
      <c r="U25" s="278">
        <f>SUM(IF((9*(IF(ISBLANK(E25),C25,E25)))+IF(ISBLANK(D25),B25,D25) &lt; 0, 0, (9*(IF(ISBLANK(E25),C25,E25)))+IF(ISBLANK(D25),B25,D25)))*12</f>
        <v>6.6000000000000005</v>
      </c>
      <c r="V25" s="279">
        <f>SUM(IF((11*(IF(ISBLANK(E25),C25,E25)))+IF(ISBLANK(D25),B25,D25) &lt; 0, 0, (11*(IF(ISBLANK(E25),C25,E25)))+IF(ISBLANK(D25),B25,D25)))*12</f>
        <v>7.8000000000000007</v>
      </c>
      <c r="W25" s="280">
        <f>SUM(IF((13*(IF(ISBLANK(E25),C25,E25)))+IF(ISBLANK(D25),B25,D25) &lt; 0, 0, (13*(IF(ISBLANK(E25),C25,E25)))+IF(ISBLANK(D25),B25,D25)))*12</f>
        <v>9</v>
      </c>
      <c r="X25" s="177"/>
      <c r="Y25" s="505">
        <v>0</v>
      </c>
      <c r="Z25" s="73">
        <f>SUM(Z18*F25)</f>
        <v>0</v>
      </c>
      <c r="AA25" s="73">
        <f>SUM(AA18*F25)</f>
        <v>0</v>
      </c>
      <c r="AB25" s="73">
        <f>SUM(AB18*F25)</f>
        <v>0</v>
      </c>
      <c r="AC25" s="282">
        <f t="shared" si="106"/>
        <v>0</v>
      </c>
      <c r="AD25" s="74"/>
      <c r="AE25" s="73">
        <f>SUM(AE18*G25)</f>
        <v>0</v>
      </c>
      <c r="AF25" s="73">
        <f>SUM(AF18*G25)</f>
        <v>0</v>
      </c>
      <c r="AG25" s="73">
        <f>SUM(AG18*G25)</f>
        <v>0</v>
      </c>
      <c r="AH25" s="282">
        <f t="shared" si="107"/>
        <v>0</v>
      </c>
      <c r="AI25" s="74"/>
      <c r="AJ25" s="73">
        <f t="shared" si="130"/>
        <v>0</v>
      </c>
      <c r="AK25" s="73">
        <f t="shared" si="131"/>
        <v>0</v>
      </c>
      <c r="AL25" s="73">
        <f t="shared" si="132"/>
        <v>0</v>
      </c>
      <c r="AM25" s="282">
        <f t="shared" si="108"/>
        <v>0</v>
      </c>
      <c r="AN25" s="74"/>
      <c r="AO25" s="73">
        <f>SUM(AO18*I25)</f>
        <v>0</v>
      </c>
      <c r="AP25" s="73">
        <f>SUM(AP18*I25)</f>
        <v>0</v>
      </c>
      <c r="AQ25" s="73">
        <f>SUM(AQ18*I25)</f>
        <v>0</v>
      </c>
      <c r="AR25" s="282">
        <f t="shared" si="109"/>
        <v>0</v>
      </c>
      <c r="AS25" s="74"/>
      <c r="AT25" s="73">
        <f>SUM(AT18*K25)</f>
        <v>12549.64650988784</v>
      </c>
      <c r="AU25" s="73">
        <f>SUM(AU18*K25)</f>
        <v>16214.61133453908</v>
      </c>
      <c r="AV25" s="73">
        <f>SUM(AV18*K25)</f>
        <v>20513.563432185005</v>
      </c>
      <c r="AW25" s="282">
        <f t="shared" si="110"/>
        <v>49277.821276611925</v>
      </c>
      <c r="AX25" s="74"/>
      <c r="AY25" s="73">
        <f>SUM(AY18*L25)</f>
        <v>39979.751082739444</v>
      </c>
      <c r="AZ25" s="73">
        <f>SUM(AZ18*L25)</f>
        <v>50680.820072112932</v>
      </c>
      <c r="BA25" s="73">
        <f>SUM(BA18*L25)</f>
        <v>63115.15930422557</v>
      </c>
      <c r="BB25" s="282">
        <f t="shared" si="111"/>
        <v>153775.73045907792</v>
      </c>
      <c r="BC25" s="74"/>
      <c r="BD25" s="73">
        <f>SUM(BD18*M25)</f>
        <v>108252.43721545342</v>
      </c>
      <c r="BE25" s="73">
        <f>SUM(BE18*M25)</f>
        <v>135988.97859035622</v>
      </c>
      <c r="BF25" s="73">
        <f>SUM(BF18*M25)</f>
        <v>167912.26137671756</v>
      </c>
      <c r="BG25" s="282">
        <f t="shared" si="112"/>
        <v>412153.6771825272</v>
      </c>
      <c r="BH25" s="74"/>
      <c r="BI25" s="73">
        <f>SUM(BI18*N25)</f>
        <v>270201.85533828026</v>
      </c>
      <c r="BJ25" s="73">
        <f>SUM(BJ18*N25)</f>
        <v>338951.17491113185</v>
      </c>
      <c r="BK25" s="73">
        <f>SUM(BK18*N25)</f>
        <v>417318.76150829502</v>
      </c>
      <c r="BL25" s="282">
        <f t="shared" si="113"/>
        <v>1026471.7917577073</v>
      </c>
      <c r="BM25" s="74"/>
      <c r="BN25" s="73">
        <f>SUM(BN18*P25)</f>
        <v>646324.86936722905</v>
      </c>
      <c r="BO25" s="73">
        <f>SUM(BO18*P25)</f>
        <v>810617.04344338703</v>
      </c>
      <c r="BP25" s="73">
        <f>SUM(BP18*P25)</f>
        <v>996074.52322183258</v>
      </c>
      <c r="BQ25" s="282">
        <f t="shared" si="114"/>
        <v>2453016.4360324489</v>
      </c>
      <c r="BR25" s="74"/>
      <c r="BS25" s="73">
        <f>SUM(BS18*Q25)</f>
        <v>1505244.7792032098</v>
      </c>
      <c r="BT25" s="73">
        <f>SUM(BT18*Q25)</f>
        <v>1888790.4172583404</v>
      </c>
      <c r="BU25" s="73">
        <f>SUM(BU18*Q25)</f>
        <v>2317477.281658818</v>
      </c>
      <c r="BV25" s="282">
        <f t="shared" si="115"/>
        <v>5711512.478120368</v>
      </c>
      <c r="BW25" s="74"/>
      <c r="BX25" s="73">
        <f>SUM(BX18*R25)</f>
        <v>3472666.3101277607</v>
      </c>
      <c r="BY25" s="73">
        <f>SUM(BY18*R25)</f>
        <v>4388635.7754676258</v>
      </c>
      <c r="BZ25" s="73">
        <f>SUM(BZ18*R25)</f>
        <v>5406690.4286701009</v>
      </c>
      <c r="CA25" s="282">
        <f t="shared" si="116"/>
        <v>13267992.514265487</v>
      </c>
      <c r="CB25" s="74"/>
      <c r="CC25" s="73">
        <f>SUM(CC18*S25)</f>
        <v>8053001.2489001611</v>
      </c>
      <c r="CD25" s="73">
        <f>SUM(CD18*S25)</f>
        <v>10240160.908027332</v>
      </c>
      <c r="CE25" s="73">
        <f>SUM(CE18*S25)</f>
        <v>12667833.70161158</v>
      </c>
      <c r="CF25" s="282">
        <f t="shared" si="117"/>
        <v>30960995.858539075</v>
      </c>
      <c r="CG25" s="88"/>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57" t="s">
        <v>196</v>
      </c>
      <c r="B26" s="278">
        <v>0.01</v>
      </c>
      <c r="C26" s="304">
        <v>0.02</v>
      </c>
      <c r="D26" s="121"/>
      <c r="E26" s="120"/>
      <c r="F26" s="129">
        <v>0</v>
      </c>
      <c r="G26" s="128">
        <v>0</v>
      </c>
      <c r="H26" s="360">
        <v>0</v>
      </c>
      <c r="I26" s="360">
        <v>0</v>
      </c>
      <c r="J26" s="282">
        <f t="shared" si="133"/>
        <v>0</v>
      </c>
      <c r="K26" s="33">
        <f>SUM(IF((0*(IF(ISBLANK(E26),C26,E26)))+IF(ISBLANK(D26),B26,D26) &lt; 0, 0, (0*(IF(ISBLANK(E26),C26,E26)))+IF(ISBLANK(D26),B26,D26)))</f>
        <v>0.01</v>
      </c>
      <c r="L26" s="33">
        <f>SUM(IF((1*(IF(ISBLANK(E26),C26,E26)))+IF(ISBLANK(D26),B26,D26) &lt; 0, 0, (1*(IF(ISBLANK(E26),C26,E26)))+IF(ISBLANK(D26),B26,D26)))</f>
        <v>0.03</v>
      </c>
      <c r="M26" s="33">
        <f>SUM(IF((2*(IF(ISBLANK(E26),C26,E26)))+IF(ISBLANK(D26),B26,D26) &lt; 0, 0, (2*(IF(ISBLANK(E26),C26,E26)))+IF(ISBLANK(D26),B26,D26)))</f>
        <v>0.05</v>
      </c>
      <c r="N26" s="33">
        <f>SUM(IF((3*(IF(ISBLANK(E26),C26,E26)))+IF(ISBLANK(D26),B26,D26) &lt; 0, 0, (3*(IF(ISBLANK(E26),C26,E26)))+IF(ISBLANK(D26),B26,D26)))</f>
        <v>6.9999999999999993E-2</v>
      </c>
      <c r="O26" s="282">
        <f t="shared" si="124"/>
        <v>426133.44920726656</v>
      </c>
      <c r="P26" s="33">
        <f>SUM(IF((4*(IF(ISBLANK(E26),C26,E26)))+IF(ISBLANK(D26),B26,D26) &lt; 0, 0, (4*(IF(ISBLANK(E26),C26,E26)))+IF(ISBLANK(D26),B26,D26)))</f>
        <v>0.09</v>
      </c>
      <c r="Q26" s="33">
        <f>SUM(IF((5*(IF(ISBLANK(E26),C26,E26)))+IF(ISBLANK(D26),B26,D26) &lt; 0, 0, (5*(IF(ISBLANK(E26),C26,E26)))+IF(ISBLANK(D26),B26,D26)))</f>
        <v>0.11</v>
      </c>
      <c r="R26" s="33">
        <f>SUM(IF((6*(IF(ISBLANK(E26),C26,E26)))+IF(ISBLANK(D26),B26,D26) &lt; 0, 0, (6*(IF(ISBLANK(E26),C26,E26)))+IF(ISBLANK(D26),B26,D26)))</f>
        <v>0.13</v>
      </c>
      <c r="S26" s="33">
        <f>SUM(IF((7*(IF(ISBLANK(E26),C26,E26)))+IF(ISBLANK(D26),B26,D26) &lt; 0, 0, (7*(IF(ISBLANK(E26),C26,E26)))+IF(ISBLANK(D26),B26,D26)))</f>
        <v>0.15000000000000002</v>
      </c>
      <c r="T26" s="305">
        <f t="shared" si="129"/>
        <v>17163381.229630206</v>
      </c>
      <c r="U26" s="278">
        <f>SUM(IF((9*(IF(ISBLANK(E26),C26,E26)))+IF(ISBLANK(D26),B26,D26) &lt; 0, 0, (9*(IF(ISBLANK(E26),C26,E26)))+IF(ISBLANK(D26),B26,D26)))*12</f>
        <v>2.2800000000000002</v>
      </c>
      <c r="V26" s="279">
        <f>SUM(IF((11*(IF(ISBLANK(E26),C26,E26)))+IF(ISBLANK(D26),B26,D26) &lt; 0, 0, (11*(IF(ISBLANK(E26),C26,E26)))+IF(ISBLANK(D26),B26,D26)))*12</f>
        <v>2.7600000000000002</v>
      </c>
      <c r="W26" s="280">
        <f>SUM(IF((13*(IF(ISBLANK(E26),C26,E26)))+IF(ISBLANK(D26),B26,D26) &lt; 0, 0, (13*(IF(ISBLANK(E26),C26,E26)))+IF(ISBLANK(D26),B26,D26)))*12</f>
        <v>3.24</v>
      </c>
      <c r="X26" s="177"/>
      <c r="Y26" s="505">
        <v>0</v>
      </c>
      <c r="Z26" s="73">
        <f>SUM(Z18*F26)</f>
        <v>0</v>
      </c>
      <c r="AA26" s="73">
        <f>SUM(AA18*F26)</f>
        <v>0</v>
      </c>
      <c r="AB26" s="73">
        <f>SUM(AB18*F26)</f>
        <v>0</v>
      </c>
      <c r="AC26" s="282">
        <f t="shared" si="106"/>
        <v>0</v>
      </c>
      <c r="AD26" s="74"/>
      <c r="AE26" s="73">
        <f>SUM(AE18*G26)</f>
        <v>0</v>
      </c>
      <c r="AF26" s="73">
        <f>SUM(AF18*G26)</f>
        <v>0</v>
      </c>
      <c r="AG26" s="73">
        <f>SUM(AG18*G26)</f>
        <v>0</v>
      </c>
      <c r="AH26" s="282">
        <f t="shared" si="107"/>
        <v>0</v>
      </c>
      <c r="AI26" s="74"/>
      <c r="AJ26" s="73">
        <f t="shared" si="130"/>
        <v>0</v>
      </c>
      <c r="AK26" s="73">
        <f t="shared" si="131"/>
        <v>0</v>
      </c>
      <c r="AL26" s="73">
        <f t="shared" si="132"/>
        <v>0</v>
      </c>
      <c r="AM26" s="282">
        <f t="shared" si="108"/>
        <v>0</v>
      </c>
      <c r="AN26" s="74"/>
      <c r="AO26" s="73">
        <f>SUM(AO18*I26)</f>
        <v>0</v>
      </c>
      <c r="AP26" s="73">
        <f>SUM(AP18*I26)</f>
        <v>0</v>
      </c>
      <c r="AQ26" s="73">
        <f>SUM(AQ18*I26)</f>
        <v>0</v>
      </c>
      <c r="AR26" s="282">
        <f t="shared" si="109"/>
        <v>0</v>
      </c>
      <c r="AS26" s="74"/>
      <c r="AT26" s="73">
        <f>SUM(AT18*K26)</f>
        <v>1254.9646509887841</v>
      </c>
      <c r="AU26" s="73">
        <f>SUM(AU18*K26)</f>
        <v>1621.4611334539079</v>
      </c>
      <c r="AV26" s="73">
        <f>SUM(AV18*K26)</f>
        <v>2051.3563432185001</v>
      </c>
      <c r="AW26" s="282">
        <f t="shared" si="110"/>
        <v>4927.7821276611921</v>
      </c>
      <c r="AX26" s="74"/>
      <c r="AY26" s="73">
        <f>SUM(AY18*L26)</f>
        <v>7995.9502165478871</v>
      </c>
      <c r="AZ26" s="73">
        <f>SUM(AZ18*L26)</f>
        <v>10136.164014422584</v>
      </c>
      <c r="BA26" s="73">
        <f>SUM(BA18*L26)</f>
        <v>12623.031860845113</v>
      </c>
      <c r="BB26" s="282">
        <f t="shared" si="111"/>
        <v>30755.146091815583</v>
      </c>
      <c r="BC26" s="74"/>
      <c r="BD26" s="73">
        <f>SUM(BD18*M26)</f>
        <v>27063.109303863355</v>
      </c>
      <c r="BE26" s="73">
        <f>SUM(BE18*M26)</f>
        <v>33997.244647589054</v>
      </c>
      <c r="BF26" s="73">
        <f>SUM(BF18*M26)</f>
        <v>41978.065344179391</v>
      </c>
      <c r="BG26" s="282">
        <f t="shared" si="112"/>
        <v>103038.4192956318</v>
      </c>
      <c r="BH26" s="74"/>
      <c r="BI26" s="73">
        <f>SUM(BI18*N26)</f>
        <v>75656.519494718465</v>
      </c>
      <c r="BJ26" s="73">
        <f>SUM(BJ18*N26)</f>
        <v>94906.328975116907</v>
      </c>
      <c r="BK26" s="73">
        <f>SUM(BK18*N26)</f>
        <v>116849.2532223226</v>
      </c>
      <c r="BL26" s="282">
        <f t="shared" si="113"/>
        <v>287412.10169215797</v>
      </c>
      <c r="BM26" s="74"/>
      <c r="BN26" s="73">
        <f>SUM(BN18*P26)</f>
        <v>193897.46081016868</v>
      </c>
      <c r="BO26" s="73">
        <f>SUM(BO18*P26)</f>
        <v>243185.11303301607</v>
      </c>
      <c r="BP26" s="73">
        <f>SUM(BP18*P26)</f>
        <v>298822.35696654971</v>
      </c>
      <c r="BQ26" s="282">
        <f t="shared" si="114"/>
        <v>735904.93080973439</v>
      </c>
      <c r="BR26" s="74"/>
      <c r="BS26" s="73">
        <f>SUM(BS18*Q26)</f>
        <v>473076.93060672312</v>
      </c>
      <c r="BT26" s="73">
        <f>SUM(BT18*Q26)</f>
        <v>593619.84542404988</v>
      </c>
      <c r="BU26" s="73">
        <f>SUM(BU18*Q26)</f>
        <v>728350.00280705711</v>
      </c>
      <c r="BV26" s="282">
        <f t="shared" si="115"/>
        <v>1795046.7788378303</v>
      </c>
      <c r="BW26" s="74"/>
      <c r="BX26" s="73">
        <f>SUM(BX18*R26)</f>
        <v>1128616.5507915223</v>
      </c>
      <c r="BY26" s="73">
        <f>SUM(BY18*R26)</f>
        <v>1426306.6270269784</v>
      </c>
      <c r="BZ26" s="73">
        <f>SUM(BZ18*R26)</f>
        <v>1757174.3893177828</v>
      </c>
      <c r="CA26" s="282">
        <f t="shared" si="116"/>
        <v>4312097.567136283</v>
      </c>
      <c r="CB26" s="74"/>
      <c r="CC26" s="73">
        <f>SUM(CC18*S26)</f>
        <v>2684333.7496333867</v>
      </c>
      <c r="CD26" s="73">
        <f>SUM(CD18*S26)</f>
        <v>3413386.9693424441</v>
      </c>
      <c r="CE26" s="73">
        <f>SUM(CE18*S26)</f>
        <v>4222611.2338705268</v>
      </c>
      <c r="CF26" s="282">
        <f t="shared" si="117"/>
        <v>10320331.952846358</v>
      </c>
      <c r="CG26" s="88"/>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57" t="s">
        <v>197</v>
      </c>
      <c r="B27" s="367">
        <v>0.01</v>
      </c>
      <c r="C27" s="304">
        <v>0</v>
      </c>
      <c r="D27" s="121"/>
      <c r="E27" s="120"/>
      <c r="F27" s="129">
        <v>0</v>
      </c>
      <c r="G27" s="128">
        <v>0</v>
      </c>
      <c r="H27" s="360">
        <v>0</v>
      </c>
      <c r="I27" s="360">
        <v>0</v>
      </c>
      <c r="J27" s="282">
        <f t="shared" si="133"/>
        <v>0</v>
      </c>
      <c r="K27" s="360">
        <v>0</v>
      </c>
      <c r="L27" s="360">
        <v>0</v>
      </c>
      <c r="M27" s="360">
        <v>0</v>
      </c>
      <c r="N27" s="360">
        <v>0</v>
      </c>
      <c r="O27" s="282">
        <f t="shared" si="124"/>
        <v>0</v>
      </c>
      <c r="P27" s="33">
        <f>SUM(IF((0*(IF(ISBLANK(E27),C27,E27)))+IF(ISBLANK(D27),B27,D27) &lt; 0, 0, (0*(IF(ISBLANK(E27),C27,E27)))+IF(ISBLANK(D27),B27,D27)))</f>
        <v>0.01</v>
      </c>
      <c r="Q27" s="33">
        <f>SUM(IF((1*(IF(ISBLANK(E27),C27,E27)))+IF(ISBLANK(D27),B27,D27) &lt; 0, 0, (1*(IF(ISBLANK(E27),C27,E27)))+IF(ISBLANK(D27),B27,D27)))</f>
        <v>0.01</v>
      </c>
      <c r="R27" s="33">
        <f>SUM(IF((2*(IF(ISBLANK(E27),C27,E27)))+IF(ISBLANK(D27),B27,D27) &lt; 0, 0, (2*(IF(ISBLANK(E27),C27,E27)))+IF(ISBLANK(D27),B27,D27)))</f>
        <v>0.01</v>
      </c>
      <c r="S27" s="33">
        <f>SUM(IF((3*(IF(ISBLANK(E27),C27,E27)))+IF(ISBLANK(D27),B27,D27) &lt; 0, 0, (3*(IF(ISBLANK(E27),C27,E27)))+IF(ISBLANK(D27),B27,D27)))</f>
        <v>0.01</v>
      </c>
      <c r="T27" s="305">
        <f t="shared" si="129"/>
        <v>1264675.2283842484</v>
      </c>
      <c r="U27" s="278">
        <f>SUM(IF((5*(IF(ISBLANK(E27),C27,E27)))+IF(ISBLANK(D27),B27,D27) &lt; 0, 0, (5*(IF(ISBLANK(E27),C27,E27)))+IF(ISBLANK(D27),B27,D27)))*12</f>
        <v>0.12</v>
      </c>
      <c r="V27" s="279">
        <f>SUM(IF((7*(IF(ISBLANK(E27),C27,E27)))+IF(ISBLANK(D27),B27,D27) &lt; 0, 0, (7*(IF(ISBLANK(E27),C27,E27)))+IF(ISBLANK(D27),B27,D27)))*12</f>
        <v>0.12</v>
      </c>
      <c r="W27" s="280">
        <f>SUM(IF((9*(IF(ISBLANK(E27),C27,E27)))+IF(ISBLANK(D27),B27,D27) &lt; 0, 0, (9*(IF(ISBLANK(E27),C27,E27)))+IF(ISBLANK(D27),B27,D27)))*12</f>
        <v>0.12</v>
      </c>
      <c r="X27" s="177"/>
      <c r="Y27" s="505">
        <v>0</v>
      </c>
      <c r="Z27" s="73">
        <f>SUM(Z18*F27)</f>
        <v>0</v>
      </c>
      <c r="AA27" s="73">
        <f>SUM(AA18*F27)</f>
        <v>0</v>
      </c>
      <c r="AB27" s="73">
        <f>SUM(AB18*F27)</f>
        <v>0</v>
      </c>
      <c r="AC27" s="282">
        <f t="shared" si="106"/>
        <v>0</v>
      </c>
      <c r="AD27" s="74"/>
      <c r="AE27" s="73">
        <f>SUM(AE18*G27)</f>
        <v>0</v>
      </c>
      <c r="AF27" s="73">
        <f>SUM(AF18*G27)</f>
        <v>0</v>
      </c>
      <c r="AG27" s="73">
        <f>SUM(AG18*G27)</f>
        <v>0</v>
      </c>
      <c r="AH27" s="282">
        <f t="shared" si="107"/>
        <v>0</v>
      </c>
      <c r="AI27" s="74"/>
      <c r="AJ27" s="73">
        <f t="shared" si="130"/>
        <v>0</v>
      </c>
      <c r="AK27" s="73">
        <f t="shared" si="131"/>
        <v>0</v>
      </c>
      <c r="AL27" s="73">
        <f t="shared" si="132"/>
        <v>0</v>
      </c>
      <c r="AM27" s="282">
        <f t="shared" si="108"/>
        <v>0</v>
      </c>
      <c r="AN27" s="74"/>
      <c r="AO27" s="73">
        <f>SUM(AO18*I27)</f>
        <v>0</v>
      </c>
      <c r="AP27" s="73">
        <f>SUM(AP18*I27)</f>
        <v>0</v>
      </c>
      <c r="AQ27" s="73">
        <f>SUM(AQ18*I27)</f>
        <v>0</v>
      </c>
      <c r="AR27" s="282">
        <f t="shared" si="109"/>
        <v>0</v>
      </c>
      <c r="AS27" s="74"/>
      <c r="AT27" s="73">
        <f>SUM(AT18*K27)</f>
        <v>0</v>
      </c>
      <c r="AU27" s="73">
        <f>SUM(AU18*K27)</f>
        <v>0</v>
      </c>
      <c r="AV27" s="73">
        <f>SUM(AV18*K27)</f>
        <v>0</v>
      </c>
      <c r="AW27" s="282">
        <f t="shared" si="110"/>
        <v>0</v>
      </c>
      <c r="AX27" s="74"/>
      <c r="AY27" s="73">
        <f>SUM(AY18*L27)</f>
        <v>0</v>
      </c>
      <c r="AZ27" s="73">
        <f>SUM(AZ18*L27)</f>
        <v>0</v>
      </c>
      <c r="BA27" s="73">
        <f>SUM(BA18*L27)</f>
        <v>0</v>
      </c>
      <c r="BB27" s="282">
        <f t="shared" si="111"/>
        <v>0</v>
      </c>
      <c r="BC27" s="74"/>
      <c r="BD27" s="73">
        <f>SUM(BD18*M27)</f>
        <v>0</v>
      </c>
      <c r="BE27" s="73">
        <f>SUM(BE18*M27)</f>
        <v>0</v>
      </c>
      <c r="BF27" s="73">
        <f>SUM(BF18*M27)</f>
        <v>0</v>
      </c>
      <c r="BG27" s="282">
        <f t="shared" si="112"/>
        <v>0</v>
      </c>
      <c r="BH27" s="74"/>
      <c r="BI27" s="73">
        <f>SUM(BI18*N27)</f>
        <v>0</v>
      </c>
      <c r="BJ27" s="73">
        <f>SUM(BJ18*N27)</f>
        <v>0</v>
      </c>
      <c r="BK27" s="73">
        <f>SUM(BK18*N27)</f>
        <v>0</v>
      </c>
      <c r="BL27" s="282">
        <f t="shared" si="113"/>
        <v>0</v>
      </c>
      <c r="BM27" s="74"/>
      <c r="BN27" s="73">
        <f>SUM(BN18*P27)</f>
        <v>21544.162312240966</v>
      </c>
      <c r="BO27" s="73">
        <f>SUM(BO18*P27)</f>
        <v>27020.568114779566</v>
      </c>
      <c r="BP27" s="73">
        <f>SUM(BP18*P27)</f>
        <v>33202.484107394412</v>
      </c>
      <c r="BQ27" s="282">
        <f t="shared" si="114"/>
        <v>81767.214534414947</v>
      </c>
      <c r="BR27" s="74"/>
      <c r="BS27" s="73">
        <f>SUM(BS18*Q27)</f>
        <v>43006.993691520285</v>
      </c>
      <c r="BT27" s="73">
        <f>SUM(BT18*Q27)</f>
        <v>53965.440493095441</v>
      </c>
      <c r="BU27" s="73">
        <f>SUM(BU18*Q27)</f>
        <v>66213.636618823366</v>
      </c>
      <c r="BV27" s="282">
        <f t="shared" si="115"/>
        <v>163186.0708034391</v>
      </c>
      <c r="BW27" s="74"/>
      <c r="BX27" s="73">
        <f>SUM(BX18*R27)</f>
        <v>86816.657753194013</v>
      </c>
      <c r="BY27" s="73">
        <f>SUM(BY18*R27)</f>
        <v>109715.89438669065</v>
      </c>
      <c r="BZ27" s="73">
        <f>SUM(BZ18*R27)</f>
        <v>135167.26071675253</v>
      </c>
      <c r="CA27" s="282">
        <f t="shared" si="116"/>
        <v>331699.81285663717</v>
      </c>
      <c r="CB27" s="74"/>
      <c r="CC27" s="73">
        <f>SUM(CC18*S27)</f>
        <v>178955.58330889244</v>
      </c>
      <c r="CD27" s="73">
        <f>SUM(CD18*S27)</f>
        <v>227559.13128949623</v>
      </c>
      <c r="CE27" s="73">
        <f>SUM(CE18*S27)</f>
        <v>281507.41559136839</v>
      </c>
      <c r="CF27" s="282">
        <f t="shared" si="117"/>
        <v>688022.1301897571</v>
      </c>
      <c r="CG27" s="88"/>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57" t="s">
        <v>198</v>
      </c>
      <c r="B28" s="367">
        <v>0.05</v>
      </c>
      <c r="C28" s="374">
        <v>7.0000000000000007E-2</v>
      </c>
      <c r="D28" s="121"/>
      <c r="E28" s="120"/>
      <c r="F28" s="129">
        <v>0</v>
      </c>
      <c r="G28" s="128">
        <v>0</v>
      </c>
      <c r="H28" s="360">
        <v>0</v>
      </c>
      <c r="I28" s="360">
        <v>0</v>
      </c>
      <c r="J28" s="282">
        <f t="shared" si="133"/>
        <v>0</v>
      </c>
      <c r="K28" s="360">
        <v>0</v>
      </c>
      <c r="L28" s="360">
        <v>0</v>
      </c>
      <c r="M28" s="360">
        <v>0</v>
      </c>
      <c r="N28" s="360">
        <v>0</v>
      </c>
      <c r="O28" s="282">
        <f t="shared" si="124"/>
        <v>0</v>
      </c>
      <c r="P28" s="33">
        <f>SUM(IF((1*(IF(ISBLANK(E28),C28,E28)))+IF(ISBLANK(D28),B28,D28) &lt; 0, 0, (1*(IF(ISBLANK(E28),C28,E28)))+IF(ISBLANK(D28),B28,D28)))</f>
        <v>0.12000000000000001</v>
      </c>
      <c r="Q28" s="33">
        <f>SUM(IF((2*(IF(ISBLANK(E28),C28,E28)))+IF(ISBLANK(D28),B28,D28) &lt; 0, 0, (2*(IF(ISBLANK(E28),C28,E28)))+IF(ISBLANK(D28),B28,D28)))</f>
        <v>0.19</v>
      </c>
      <c r="R28" s="33">
        <f>SUM(IF((3*(IF(ISBLANK(E28),C28,E28)))+IF(ISBLANK(D28),B28,D28) &lt; 0, 0, (3*(IF(ISBLANK(E28),C28,E28)))+IF(ISBLANK(D28),B28,D28)))</f>
        <v>0.26</v>
      </c>
      <c r="S28" s="33">
        <f>SUM(IF((4*(IF(ISBLANK(E28),C28,E28)))+IF(ISBLANK(D28),B28,D28) &lt; 0, 0, (4*(IF(ISBLANK(E28),C28,E28)))+IF(ISBLANK(D28),B28,D28)))</f>
        <v>0.33</v>
      </c>
      <c r="T28" s="305">
        <f t="shared" si="129"/>
        <v>35410667.350212872</v>
      </c>
      <c r="U28" s="278">
        <f>SUM(IF((6*(IF(ISBLANK(E28),C28,E28)))+IF(ISBLANK(D28),B28,D28) &lt; 0, 0, (6*(IF(ISBLANK(E28),C28,E28)))+IF(ISBLANK(D28),B28,D28)))*12</f>
        <v>5.6400000000000006</v>
      </c>
      <c r="V28" s="279">
        <f>SUM(IF((8*(IF(ISBLANK(E28),C28,E28)))+IF(ISBLANK(D28),B28,D28) &lt; 0, 0, (8*(IF(ISBLANK(E28),C28,E28)))+IF(ISBLANK(D28),B28,D28)))*12</f>
        <v>7.3200000000000012</v>
      </c>
      <c r="W28" s="280">
        <f>SUM(IF((10*(IF(ISBLANK(E28),C28,E28)))+IF(ISBLANK(D28),B28,D28) &lt; 0, 0, (10*(IF(ISBLANK(E28),C28,E28)))+IF(ISBLANK(D28),B28,D28)))*12</f>
        <v>9.0000000000000018</v>
      </c>
      <c r="X28" s="177"/>
      <c r="Y28" s="505">
        <v>0</v>
      </c>
      <c r="Z28" s="73">
        <f>SUM(Z18*F28)</f>
        <v>0</v>
      </c>
      <c r="AA28" s="73">
        <f>SUM(AA18*F28)</f>
        <v>0</v>
      </c>
      <c r="AB28" s="73">
        <f>SUM(AB18*F28)</f>
        <v>0</v>
      </c>
      <c r="AC28" s="282">
        <f t="shared" si="106"/>
        <v>0</v>
      </c>
      <c r="AD28" s="74"/>
      <c r="AE28" s="73">
        <f>SUM(AE18*G28)</f>
        <v>0</v>
      </c>
      <c r="AF28" s="73">
        <f>SUM(AF18*G28)</f>
        <v>0</v>
      </c>
      <c r="AG28" s="73">
        <f>SUM(AG18*G28)</f>
        <v>0</v>
      </c>
      <c r="AH28" s="282">
        <f t="shared" si="107"/>
        <v>0</v>
      </c>
      <c r="AI28" s="74"/>
      <c r="AJ28" s="73">
        <f t="shared" si="130"/>
        <v>0</v>
      </c>
      <c r="AK28" s="73">
        <f t="shared" si="131"/>
        <v>0</v>
      </c>
      <c r="AL28" s="73">
        <f t="shared" si="132"/>
        <v>0</v>
      </c>
      <c r="AM28" s="282">
        <f t="shared" si="108"/>
        <v>0</v>
      </c>
      <c r="AN28" s="74"/>
      <c r="AO28" s="73">
        <f>SUM(AO18*I28)</f>
        <v>0</v>
      </c>
      <c r="AP28" s="73">
        <f>SUM(AP18*I28)</f>
        <v>0</v>
      </c>
      <c r="AQ28" s="73">
        <f>SUM(AQ18*I28)</f>
        <v>0</v>
      </c>
      <c r="AR28" s="282">
        <f t="shared" si="109"/>
        <v>0</v>
      </c>
      <c r="AS28" s="74"/>
      <c r="AT28" s="73">
        <f>SUM(AT18*K28)</f>
        <v>0</v>
      </c>
      <c r="AU28" s="73">
        <f>SUM(AU18*K28)</f>
        <v>0</v>
      </c>
      <c r="AV28" s="73">
        <f>SUM(AV18*K28)</f>
        <v>0</v>
      </c>
      <c r="AW28" s="282">
        <f t="shared" si="110"/>
        <v>0</v>
      </c>
      <c r="AX28" s="74"/>
      <c r="AY28" s="73">
        <f>SUM(AY18*L28)</f>
        <v>0</v>
      </c>
      <c r="AZ28" s="73">
        <f>SUM(AZ18*L28)</f>
        <v>0</v>
      </c>
      <c r="BA28" s="73">
        <f>SUM(BA18*L28)</f>
        <v>0</v>
      </c>
      <c r="BB28" s="282">
        <f t="shared" si="111"/>
        <v>0</v>
      </c>
      <c r="BC28" s="74"/>
      <c r="BD28" s="73">
        <f>SUM(BD18*M28)</f>
        <v>0</v>
      </c>
      <c r="BE28" s="73">
        <f>SUM(BE18*M28)</f>
        <v>0</v>
      </c>
      <c r="BF28" s="73">
        <f>SUM(BF18*M28)</f>
        <v>0</v>
      </c>
      <c r="BG28" s="282">
        <f t="shared" si="112"/>
        <v>0</v>
      </c>
      <c r="BH28" s="74"/>
      <c r="BI28" s="73">
        <f>SUM(BI18*N28)</f>
        <v>0</v>
      </c>
      <c r="BJ28" s="73">
        <f>SUM(BJ18*N28)</f>
        <v>0</v>
      </c>
      <c r="BK28" s="73">
        <f>SUM(BK18*N28)</f>
        <v>0</v>
      </c>
      <c r="BL28" s="282">
        <f t="shared" si="113"/>
        <v>0</v>
      </c>
      <c r="BM28" s="74"/>
      <c r="BN28" s="73">
        <f>SUM(BN18*P28)</f>
        <v>258529.94774689159</v>
      </c>
      <c r="BO28" s="73">
        <f>SUM(BO18*P28)</f>
        <v>324246.81737735478</v>
      </c>
      <c r="BP28" s="73">
        <f>SUM(BP18*P28)</f>
        <v>398429.809288733</v>
      </c>
      <c r="BQ28" s="282">
        <f t="shared" si="114"/>
        <v>981206.57441297942</v>
      </c>
      <c r="BR28" s="74"/>
      <c r="BS28" s="73">
        <f>SUM(BS18*Q28)</f>
        <v>817132.88013888535</v>
      </c>
      <c r="BT28" s="73">
        <f>SUM(BT18*Q28)</f>
        <v>1025343.3693688135</v>
      </c>
      <c r="BU28" s="73">
        <f>SUM(BU18*Q28)</f>
        <v>1258059.0957576442</v>
      </c>
      <c r="BV28" s="282">
        <f t="shared" si="115"/>
        <v>3100535.3452653429</v>
      </c>
      <c r="BW28" s="74"/>
      <c r="BX28" s="73">
        <f>SUM(BX18*R28)</f>
        <v>2257233.1015830445</v>
      </c>
      <c r="BY28" s="73">
        <f>SUM(BY18*R28)</f>
        <v>2852613.2540539568</v>
      </c>
      <c r="BZ28" s="73">
        <f>SUM(BZ18*R28)</f>
        <v>3514348.7786355657</v>
      </c>
      <c r="CA28" s="282">
        <f t="shared" si="116"/>
        <v>8624195.1342725661</v>
      </c>
      <c r="CB28" s="74"/>
      <c r="CC28" s="73">
        <f>SUM(CC18*S28)</f>
        <v>5905534.2491934504</v>
      </c>
      <c r="CD28" s="73">
        <f>SUM(CD18*S28)</f>
        <v>7509451.3325533764</v>
      </c>
      <c r="CE28" s="73">
        <f>SUM(CE18*S28)</f>
        <v>9289744.7145151589</v>
      </c>
      <c r="CF28" s="282">
        <f t="shared" si="117"/>
        <v>22704730.296261989</v>
      </c>
      <c r="CG28" s="88"/>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58" t="s">
        <v>199</v>
      </c>
      <c r="B29" s="645" t="s">
        <v>209</v>
      </c>
      <c r="C29" s="646"/>
      <c r="D29" s="645" t="s">
        <v>209</v>
      </c>
      <c r="E29" s="646"/>
      <c r="F29" s="130">
        <v>0</v>
      </c>
      <c r="G29" s="131">
        <v>0</v>
      </c>
      <c r="H29" s="131">
        <v>0</v>
      </c>
      <c r="I29" s="131">
        <v>0</v>
      </c>
      <c r="J29" s="282">
        <f t="shared" si="133"/>
        <v>0</v>
      </c>
      <c r="K29" s="131">
        <v>0</v>
      </c>
      <c r="L29" s="131">
        <v>0</v>
      </c>
      <c r="M29" s="131">
        <v>0</v>
      </c>
      <c r="N29" s="131">
        <v>0</v>
      </c>
      <c r="O29" s="282">
        <f t="shared" si="124"/>
        <v>0</v>
      </c>
      <c r="P29" s="131">
        <v>0</v>
      </c>
      <c r="Q29" s="131">
        <v>0</v>
      </c>
      <c r="R29" s="131">
        <v>0</v>
      </c>
      <c r="S29" s="131">
        <v>0</v>
      </c>
      <c r="T29" s="305">
        <f t="shared" si="129"/>
        <v>0</v>
      </c>
      <c r="U29" s="355">
        <v>0</v>
      </c>
      <c r="V29" s="356">
        <v>0</v>
      </c>
      <c r="W29" s="357">
        <v>0</v>
      </c>
      <c r="X29" s="177"/>
      <c r="Y29" s="505">
        <v>0</v>
      </c>
      <c r="Z29" s="73">
        <f>SUM(F29/3)</f>
        <v>0</v>
      </c>
      <c r="AA29" s="73">
        <f>SUM(F29/3)</f>
        <v>0</v>
      </c>
      <c r="AB29" s="73">
        <f>SUM(F29/3)</f>
        <v>0</v>
      </c>
      <c r="AC29" s="282">
        <f t="shared" si="106"/>
        <v>0</v>
      </c>
      <c r="AD29" s="74"/>
      <c r="AE29" s="73">
        <f>SUM(G29/3)</f>
        <v>0</v>
      </c>
      <c r="AF29" s="73">
        <f>SUM(G29/3)</f>
        <v>0</v>
      </c>
      <c r="AG29" s="73">
        <f>SUM(G29/3)</f>
        <v>0</v>
      </c>
      <c r="AH29" s="282">
        <f t="shared" si="107"/>
        <v>0</v>
      </c>
      <c r="AI29" s="74"/>
      <c r="AJ29" s="73">
        <f>SUM(H29/3)</f>
        <v>0</v>
      </c>
      <c r="AK29" s="73">
        <f>SUM(H29/3)</f>
        <v>0</v>
      </c>
      <c r="AL29" s="73">
        <f>SUM(H29/3)</f>
        <v>0</v>
      </c>
      <c r="AM29" s="282">
        <f t="shared" si="108"/>
        <v>0</v>
      </c>
      <c r="AN29" s="74"/>
      <c r="AO29" s="73">
        <f>SUM(I29/3)</f>
        <v>0</v>
      </c>
      <c r="AP29" s="73">
        <f>SUM(I29/3)</f>
        <v>0</v>
      </c>
      <c r="AQ29" s="73">
        <f>SUM(I29/3)</f>
        <v>0</v>
      </c>
      <c r="AR29" s="282">
        <f t="shared" si="109"/>
        <v>0</v>
      </c>
      <c r="AS29" s="74"/>
      <c r="AT29" s="73">
        <f>SUM(K29/3)</f>
        <v>0</v>
      </c>
      <c r="AU29" s="73">
        <f>SUM(K29/3)</f>
        <v>0</v>
      </c>
      <c r="AV29" s="73">
        <f>SUM(K29/3)</f>
        <v>0</v>
      </c>
      <c r="AW29" s="282">
        <f t="shared" si="110"/>
        <v>0</v>
      </c>
      <c r="AX29" s="74"/>
      <c r="AY29" s="73">
        <f>SUM(L29/3)</f>
        <v>0</v>
      </c>
      <c r="AZ29" s="73">
        <f>SUM(L29/3)</f>
        <v>0</v>
      </c>
      <c r="BA29" s="73">
        <f>SUM(L29/3)</f>
        <v>0</v>
      </c>
      <c r="BB29" s="282">
        <f t="shared" si="111"/>
        <v>0</v>
      </c>
      <c r="BC29" s="74"/>
      <c r="BD29" s="73">
        <f>SUM(M29/3)</f>
        <v>0</v>
      </c>
      <c r="BE29" s="73">
        <f>SUM(M29/3)</f>
        <v>0</v>
      </c>
      <c r="BF29" s="73">
        <f>SUM(M29/3)</f>
        <v>0</v>
      </c>
      <c r="BG29" s="282">
        <f t="shared" si="112"/>
        <v>0</v>
      </c>
      <c r="BH29" s="74"/>
      <c r="BI29" s="73">
        <f>SUM(N29/3)</f>
        <v>0</v>
      </c>
      <c r="BJ29" s="73">
        <f>SUM(N29/3)</f>
        <v>0</v>
      </c>
      <c r="BK29" s="73">
        <f>SUM(N29/3)</f>
        <v>0</v>
      </c>
      <c r="BL29" s="282">
        <f t="shared" si="113"/>
        <v>0</v>
      </c>
      <c r="BM29" s="74"/>
      <c r="BN29" s="73">
        <f>SUM(P29/3)</f>
        <v>0</v>
      </c>
      <c r="BO29" s="73">
        <f>SUM(P29/3)</f>
        <v>0</v>
      </c>
      <c r="BP29" s="73">
        <f>SUM(P29/3)</f>
        <v>0</v>
      </c>
      <c r="BQ29" s="282">
        <f t="shared" si="114"/>
        <v>0</v>
      </c>
      <c r="BR29" s="74"/>
      <c r="BS29" s="73">
        <f>SUM(Q29/3)</f>
        <v>0</v>
      </c>
      <c r="BT29" s="73">
        <f>SUM(Q29/3)</f>
        <v>0</v>
      </c>
      <c r="BU29" s="73">
        <f>SUM(Q29/3)</f>
        <v>0</v>
      </c>
      <c r="BV29" s="282">
        <f t="shared" si="115"/>
        <v>0</v>
      </c>
      <c r="BW29" s="74"/>
      <c r="BX29" s="73">
        <f>SUM(R29/3)</f>
        <v>0</v>
      </c>
      <c r="BY29" s="73">
        <f>SUM(R29/3)</f>
        <v>0</v>
      </c>
      <c r="BZ29" s="73">
        <f>SUM(R29/3)</f>
        <v>0</v>
      </c>
      <c r="CA29" s="282">
        <f t="shared" si="116"/>
        <v>0</v>
      </c>
      <c r="CB29" s="74"/>
      <c r="CC29" s="73">
        <f>SUM(S29/3)</f>
        <v>0</v>
      </c>
      <c r="CD29" s="73">
        <f>SUM(S29/3)</f>
        <v>0</v>
      </c>
      <c r="CE29" s="73">
        <f>SUM(S29/3)</f>
        <v>0</v>
      </c>
      <c r="CF29" s="282">
        <f t="shared" si="117"/>
        <v>0</v>
      </c>
      <c r="CG29" s="88"/>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59" t="s">
        <v>200</v>
      </c>
      <c r="B30" s="321"/>
      <c r="C30" s="322"/>
      <c r="D30" s="202"/>
      <c r="E30" s="203"/>
      <c r="F30" s="101">
        <f>AC30</f>
        <v>0</v>
      </c>
      <c r="G30" s="75">
        <f>AH30</f>
        <v>0</v>
      </c>
      <c r="H30" s="75">
        <f>AM30</f>
        <v>36967.049327299967</v>
      </c>
      <c r="I30" s="75">
        <f>AR30</f>
        <v>205221.59489155581</v>
      </c>
      <c r="J30" s="72">
        <f>SUM(F30:I30)</f>
        <v>242188.64421885577</v>
      </c>
      <c r="K30" s="75">
        <f>AW30</f>
        <v>660322.8051065997</v>
      </c>
      <c r="L30" s="75">
        <f>BB30</f>
        <v>1763295.042597427</v>
      </c>
      <c r="M30" s="75">
        <f>BG30</f>
        <v>4327613.6104165353</v>
      </c>
      <c r="N30" s="75">
        <f>BL30</f>
        <v>10182600.174236454</v>
      </c>
      <c r="O30" s="72">
        <f>SUM(K30:N30)</f>
        <v>16933831.632357016</v>
      </c>
      <c r="P30" s="75">
        <f>BQ30</f>
        <v>24448397.145790067</v>
      </c>
      <c r="Q30" s="75">
        <f>BV30</f>
        <v>56136008.356383048</v>
      </c>
      <c r="R30" s="75">
        <f>CA30</f>
        <v>129031227.20123187</v>
      </c>
      <c r="S30" s="75">
        <f>CF30</f>
        <v>298601604.50235462</v>
      </c>
      <c r="T30" s="158">
        <f>SUM(P30:S30)</f>
        <v>508217237.20575958</v>
      </c>
      <c r="U30" s="162">
        <f>SUM(((S18+U18)/2)*(U21+U22+U23+U24+U25+U26+U27+U28))</f>
        <v>3589295915.8949008</v>
      </c>
      <c r="V30" s="72">
        <f>SUM(((U18+V18)/2)*(V21+V22+V23+V24+V25+V26+V27+V28))</f>
        <v>11083524890.172249</v>
      </c>
      <c r="W30" s="89">
        <f>SUM(((V18+W18)/2)*(W21+W22+W23+W24+W25+W26+W27+W28))</f>
        <v>25630059498.407795</v>
      </c>
      <c r="X30" s="178"/>
      <c r="Y30" s="509">
        <v>0</v>
      </c>
      <c r="Z30" s="75">
        <f>SUM(Z21:Z29)</f>
        <v>0</v>
      </c>
      <c r="AA30" s="75">
        <f>SUM(AA21:AA29)</f>
        <v>0</v>
      </c>
      <c r="AB30" s="75">
        <f>SUM(AB21:AB29)</f>
        <v>0</v>
      </c>
      <c r="AC30" s="72">
        <f>SUM(Z30:AB30)</f>
        <v>0</v>
      </c>
      <c r="AD30" s="72"/>
      <c r="AE30" s="75">
        <f>SUM(AE21:AE29)</f>
        <v>0</v>
      </c>
      <c r="AF30" s="75">
        <f>SUM(AF21:AF29)</f>
        <v>0</v>
      </c>
      <c r="AG30" s="75">
        <f>SUM(AG21:AG29)</f>
        <v>0</v>
      </c>
      <c r="AH30" s="72">
        <f>SUM(AE30:AG30)</f>
        <v>0</v>
      </c>
      <c r="AI30" s="72"/>
      <c r="AJ30" s="75">
        <f>SUM(AJ21:AJ29)</f>
        <v>6856.2337779233785</v>
      </c>
      <c r="AK30" s="75">
        <f>SUM(AK21:AK29)</f>
        <v>11989.304530848651</v>
      </c>
      <c r="AL30" s="75">
        <f>SUM(AL21:AL29)</f>
        <v>18121.511018527937</v>
      </c>
      <c r="AM30" s="72">
        <f>SUM(AJ30:AL30)</f>
        <v>36967.049327299967</v>
      </c>
      <c r="AN30" s="72"/>
      <c r="AO30" s="75">
        <f>SUM(AO21:AO29)</f>
        <v>49308.286581664754</v>
      </c>
      <c r="AP30" s="75">
        <f>SUM(AP21:AP29)</f>
        <v>67316.693516312342</v>
      </c>
      <c r="AQ30" s="75">
        <f>SUM(AQ21:AQ29)</f>
        <v>88596.614793578716</v>
      </c>
      <c r="AR30" s="72">
        <f>SUM(AO30:AQ30)</f>
        <v>205221.59489155581</v>
      </c>
      <c r="AS30" s="72"/>
      <c r="AT30" s="75">
        <f>SUM(AT21:AT29)</f>
        <v>168165.26323249706</v>
      </c>
      <c r="AU30" s="75">
        <f>SUM(AU21:AU29)</f>
        <v>217275.79188282366</v>
      </c>
      <c r="AV30" s="75">
        <f>SUM(AV21:AV29)</f>
        <v>274881.74999127898</v>
      </c>
      <c r="AW30" s="72">
        <f>SUM(AT30:AV30)</f>
        <v>660322.8051065997</v>
      </c>
      <c r="AX30" s="72"/>
      <c r="AY30" s="75">
        <f>SUM(AY21:AY29)</f>
        <v>458434.47908207891</v>
      </c>
      <c r="AZ30" s="75">
        <f>SUM(AZ21:AZ29)</f>
        <v>581140.07016022818</v>
      </c>
      <c r="BA30" s="75">
        <f>SUM(BA21:BA29)</f>
        <v>723720.49335511983</v>
      </c>
      <c r="BB30" s="72">
        <f>SUM(AY30:BA30)</f>
        <v>1763295.042597427</v>
      </c>
      <c r="BC30" s="72"/>
      <c r="BD30" s="75">
        <f>SUM(BD21:BD29)</f>
        <v>1136650.5907622608</v>
      </c>
      <c r="BE30" s="75">
        <f>SUM(BE21:BE29)</f>
        <v>1427884.2751987402</v>
      </c>
      <c r="BF30" s="75">
        <f>SUM(BF21:BF29)</f>
        <v>1763078.7444555343</v>
      </c>
      <c r="BG30" s="72">
        <f>SUM(BD30:BF30)</f>
        <v>4327613.6104165353</v>
      </c>
      <c r="BH30" s="72"/>
      <c r="BI30" s="75">
        <f>SUM(BI21:BI29)</f>
        <v>2680402.4049557401</v>
      </c>
      <c r="BJ30" s="75">
        <f>SUM(BJ21:BJ29)</f>
        <v>3362395.6551184282</v>
      </c>
      <c r="BK30" s="75">
        <f>SUM(BK21:BK29)</f>
        <v>4139802.1141622867</v>
      </c>
      <c r="BL30" s="72">
        <f>SUM(BI30:BK30)</f>
        <v>10182600.174236454</v>
      </c>
      <c r="BM30" s="72"/>
      <c r="BN30" s="75">
        <f>SUM(BN21:BN29)</f>
        <v>6441704.5313600488</v>
      </c>
      <c r="BO30" s="75">
        <f>SUM(BO21:BO29)</f>
        <v>8079149.8663190911</v>
      </c>
      <c r="BP30" s="75">
        <f>SUM(BP21:BP29)</f>
        <v>9927542.7481109276</v>
      </c>
      <c r="BQ30" s="72">
        <f>SUM(BN30:BP30)</f>
        <v>24448397.145790067</v>
      </c>
      <c r="BR30" s="72"/>
      <c r="BS30" s="75">
        <f>SUM(BS21:BS29)</f>
        <v>14794405.829882978</v>
      </c>
      <c r="BT30" s="75">
        <f>SUM(BT21:BT29)</f>
        <v>18564111.529624831</v>
      </c>
      <c r="BU30" s="75">
        <f>SUM(BU21:BU29)</f>
        <v>22777490.996875241</v>
      </c>
      <c r="BV30" s="72">
        <f>SUM(BS30:BU30)</f>
        <v>56136008.356383048</v>
      </c>
      <c r="BW30" s="72"/>
      <c r="BX30" s="75">
        <f>SUM(BX21:BX29)</f>
        <v>33771679.865992472</v>
      </c>
      <c r="BY30" s="75">
        <f>SUM(BY21:BY29)</f>
        <v>42679482.916422665</v>
      </c>
      <c r="BZ30" s="75">
        <f>SUM(BZ21:BZ29)</f>
        <v>52580064.41881673</v>
      </c>
      <c r="CA30" s="72">
        <f>SUM(BX30:BZ30)</f>
        <v>129031227.20123187</v>
      </c>
      <c r="CB30" s="72"/>
      <c r="CC30" s="75">
        <f>SUM(CC21:CC29)</f>
        <v>77666723.156059325</v>
      </c>
      <c r="CD30" s="75">
        <f>SUM(CD21:CD29)</f>
        <v>98760662.979641378</v>
      </c>
      <c r="CE30" s="75">
        <f>SUM(CE21:CE29)</f>
        <v>122174218.36665392</v>
      </c>
      <c r="CF30" s="84">
        <f>SUM(CC30:CE30)</f>
        <v>298601604.50235462</v>
      </c>
      <c r="CG30" s="89"/>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5"/>
      <c r="B31" s="160"/>
      <c r="C31" s="323"/>
      <c r="D31" s="40"/>
      <c r="E31" s="42"/>
      <c r="F31" s="102"/>
      <c r="G31" s="30"/>
      <c r="H31" s="30"/>
      <c r="I31" s="30"/>
      <c r="J31" s="30"/>
      <c r="K31" s="30"/>
      <c r="L31" s="30"/>
      <c r="M31" s="30"/>
      <c r="N31" s="30"/>
      <c r="O31" s="30"/>
      <c r="P31" s="30"/>
      <c r="Q31" s="30"/>
      <c r="R31" s="30"/>
      <c r="S31" s="30"/>
      <c r="T31" s="108"/>
      <c r="U31" s="40"/>
      <c r="V31" s="30"/>
      <c r="W31" s="42"/>
      <c r="X31" s="168"/>
      <c r="Y31" s="66"/>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0" t="s">
        <v>211</v>
      </c>
      <c r="B32" s="292"/>
      <c r="C32" s="324"/>
      <c r="D32" s="302"/>
      <c r="E32" s="303"/>
      <c r="F32" s="103"/>
      <c r="G32" s="69"/>
      <c r="H32" s="69"/>
      <c r="I32" s="69"/>
      <c r="J32" s="285"/>
      <c r="K32" s="69"/>
      <c r="L32" s="69"/>
      <c r="M32" s="69"/>
      <c r="N32" s="69"/>
      <c r="O32" s="285"/>
      <c r="P32" s="69"/>
      <c r="Q32" s="69"/>
      <c r="R32" s="69"/>
      <c r="S32" s="69"/>
      <c r="T32" s="277"/>
      <c r="U32" s="284"/>
      <c r="V32" s="285"/>
      <c r="W32" s="286"/>
      <c r="X32" s="178"/>
      <c r="Y32" s="504"/>
      <c r="Z32" s="69"/>
      <c r="AA32" s="69"/>
      <c r="AB32" s="69"/>
      <c r="AC32" s="285"/>
      <c r="AD32" s="72"/>
      <c r="AE32" s="69"/>
      <c r="AF32" s="69"/>
      <c r="AG32" s="69"/>
      <c r="AH32" s="285"/>
      <c r="AI32" s="72"/>
      <c r="AJ32" s="69"/>
      <c r="AK32" s="69"/>
      <c r="AL32" s="69"/>
      <c r="AM32" s="285"/>
      <c r="AN32" s="72"/>
      <c r="AO32" s="69"/>
      <c r="AP32" s="69"/>
      <c r="AQ32" s="69"/>
      <c r="AR32" s="285"/>
      <c r="AS32" s="72"/>
      <c r="AT32" s="69"/>
      <c r="AU32" s="69"/>
      <c r="AV32" s="69"/>
      <c r="AW32" s="285"/>
      <c r="AX32" s="72"/>
      <c r="AY32" s="69"/>
      <c r="AZ32" s="69"/>
      <c r="BA32" s="69"/>
      <c r="BB32" s="285"/>
      <c r="BC32" s="72"/>
      <c r="BD32" s="69"/>
      <c r="BE32" s="69"/>
      <c r="BF32" s="69"/>
      <c r="BG32" s="285"/>
      <c r="BH32" s="72"/>
      <c r="BI32" s="69"/>
      <c r="BJ32" s="69"/>
      <c r="BK32" s="69"/>
      <c r="BL32" s="285"/>
      <c r="BM32" s="72"/>
      <c r="BN32" s="69"/>
      <c r="BO32" s="69"/>
      <c r="BP32" s="69"/>
      <c r="BQ32" s="285"/>
      <c r="BR32" s="72"/>
      <c r="BS32" s="69"/>
      <c r="BT32" s="69"/>
      <c r="BU32" s="69"/>
      <c r="BV32" s="285"/>
      <c r="BW32" s="72"/>
      <c r="BX32" s="69"/>
      <c r="BY32" s="69"/>
      <c r="BZ32" s="69"/>
      <c r="CA32" s="285"/>
      <c r="CB32" s="72"/>
      <c r="CC32" s="69"/>
      <c r="CD32" s="69"/>
      <c r="CE32" s="69"/>
      <c r="CF32" s="285"/>
      <c r="CG32" s="89"/>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1" t="s">
        <v>201</v>
      </c>
      <c r="B33" s="281">
        <v>0</v>
      </c>
      <c r="C33" s="269">
        <v>0.1</v>
      </c>
      <c r="D33" s="116"/>
      <c r="E33" s="117"/>
      <c r="F33" s="104">
        <f>SUM((IF(ISBLANK(D33),B33,D33))+(F34*(IF(ISBLANK(E33),C33,E33))))</f>
        <v>2000</v>
      </c>
      <c r="G33" s="70">
        <f>SUM((IF(ISBLANK(D33),B33,D33))+(G34*(IF(ISBLANK(E33),C33,E33))))</f>
        <v>2000</v>
      </c>
      <c r="H33" s="70">
        <f>SUM((IF(ISBLANK(D33),B33,D33))+(H34*(IF(ISBLANK(E33),C33,E33))))</f>
        <v>2246.4469955153331</v>
      </c>
      <c r="I33" s="70">
        <f>SUM((IF(ISBLANK(D33),B33,D33))+(I34*(IF(ISBLANK(E33),C33,E33))))</f>
        <v>3511.9801640132605</v>
      </c>
      <c r="J33" s="282">
        <f>SUM(AC33+AH33+AM33+AR33)</f>
        <v>29275.281478585777</v>
      </c>
      <c r="K33" s="70">
        <f>SUM((IF(ISBLANK(D33),B33,D33))+(K34*(IF(ISBLANK(E33),C33,E33))))</f>
        <v>7253.8093929506595</v>
      </c>
      <c r="L33" s="70">
        <f>SUM((IF(ISBLANK(D33),B33,D33))+(L34*(IF(ISBLANK(E33),C33,E33))))</f>
        <v>16364.167113037367</v>
      </c>
      <c r="M33" s="70">
        <f>SUM((IF(ISBLANK(D33),B33,D33))+(M34*(IF(ISBLANK(E33),C33,E33))))</f>
        <v>36559.697294981204</v>
      </c>
      <c r="N33" s="70">
        <f>SUM((IF(ISBLANK(D33),B33,D33))+(N34*(IF(ISBLANK(E33),C33,E33))))</f>
        <v>78987.198020966433</v>
      </c>
      <c r="O33" s="282">
        <f>SUM(AW33+BB33+BG33+BL33)</f>
        <v>417494.61546580697</v>
      </c>
      <c r="P33" s="70">
        <f>SUM((IF(ISBLANK(D33),B33,D33))+(P34*(IF(ISBLANK(E33),C33,E33))))</f>
        <v>168631.32088886335</v>
      </c>
      <c r="Q33" s="70">
        <f>SUM((IF(ISBLANK(D33),B33,D33))+(Q34*(IF(ISBLANK(E33),C33,E33))))</f>
        <v>346395.34735074308</v>
      </c>
      <c r="R33" s="70">
        <f>SUM((IF(ISBLANK(D33),B33,D33))+(R34*(IF(ISBLANK(E33),C33,E33))))</f>
        <v>690478.61988736142</v>
      </c>
      <c r="S33" s="70">
        <f>SUM((IF(ISBLANK(D33),B33,D33))+(S34*(IF(ISBLANK(E33),C33,E33))))</f>
        <v>1337448.7629757966</v>
      </c>
      <c r="T33" s="305">
        <f>SUM(BQ33+BV33+CA33+CF33)</f>
        <v>7628862.1533082929</v>
      </c>
      <c r="U33" s="281">
        <f>SUM((IF(ISBLANK(D33),B33,D33))+(U34*(IF(ISBLANK(E33),C33,E33))))</f>
        <v>87835303.4736076</v>
      </c>
      <c r="V33" s="282">
        <f>SUM((IF(ISBLANK(D33),B33,D33))+(V34*(IF(ISBLANK(E33),C33,E33))))</f>
        <v>126627640.58921051</v>
      </c>
      <c r="W33" s="283">
        <f>SUM((IF(ISBLANK(D33),B33,D33))+(W34*(IF(ISBLANK(E33),C33,E33))))</f>
        <v>177887759.58602616</v>
      </c>
      <c r="X33" s="177"/>
      <c r="Y33" s="505">
        <f>SUM(11102+10095+8000)</f>
        <v>29197</v>
      </c>
      <c r="Z33" s="70">
        <f>F33</f>
        <v>2000</v>
      </c>
      <c r="AA33" s="70">
        <f>F33</f>
        <v>2000</v>
      </c>
      <c r="AB33" s="70">
        <f>F33</f>
        <v>2000</v>
      </c>
      <c r="AC33" s="282">
        <f t="shared" ref="AC33:AC43" si="134">SUM(Z33:AB33)</f>
        <v>6000</v>
      </c>
      <c r="AD33" s="74"/>
      <c r="AE33" s="70">
        <f>G33</f>
        <v>2000</v>
      </c>
      <c r="AF33" s="70">
        <f>G33</f>
        <v>2000</v>
      </c>
      <c r="AG33" s="70">
        <f>G33</f>
        <v>2000</v>
      </c>
      <c r="AH33" s="282">
        <f t="shared" ref="AH33:AH46" si="135">SUM(AE33:AG33)</f>
        <v>6000</v>
      </c>
      <c r="AI33" s="74"/>
      <c r="AJ33" s="70">
        <f>H33</f>
        <v>2246.4469955153331</v>
      </c>
      <c r="AK33" s="70">
        <f>H33</f>
        <v>2246.4469955153331</v>
      </c>
      <c r="AL33" s="70">
        <f>H33</f>
        <v>2246.4469955153331</v>
      </c>
      <c r="AM33" s="282">
        <f t="shared" ref="AM33:AM43" si="136">SUM(AJ33:AL33)</f>
        <v>6739.3409865459998</v>
      </c>
      <c r="AN33" s="74"/>
      <c r="AO33" s="70">
        <f>I33</f>
        <v>3511.9801640132605</v>
      </c>
      <c r="AP33" s="70">
        <f>I33</f>
        <v>3511.9801640132605</v>
      </c>
      <c r="AQ33" s="70">
        <f>I33</f>
        <v>3511.9801640132605</v>
      </c>
      <c r="AR33" s="282">
        <f t="shared" ref="AR33:AR43" si="137">SUM(AO33:AQ33)</f>
        <v>10535.940492039781</v>
      </c>
      <c r="AS33" s="74"/>
      <c r="AT33" s="70">
        <f>K33</f>
        <v>7253.8093929506595</v>
      </c>
      <c r="AU33" s="70">
        <f>K33</f>
        <v>7253.8093929506595</v>
      </c>
      <c r="AV33" s="70">
        <f>K33</f>
        <v>7253.8093929506595</v>
      </c>
      <c r="AW33" s="282">
        <f t="shared" ref="AW33:AW43" si="138">SUM(AT33:AV33)</f>
        <v>21761.42817885198</v>
      </c>
      <c r="AX33" s="74"/>
      <c r="AY33" s="70">
        <f>L33</f>
        <v>16364.167113037367</v>
      </c>
      <c r="AZ33" s="70">
        <f>L33</f>
        <v>16364.167113037367</v>
      </c>
      <c r="BA33" s="70">
        <f>L33</f>
        <v>16364.167113037367</v>
      </c>
      <c r="BB33" s="282">
        <f t="shared" ref="BB33:BB43" si="139">SUM(AY33:BA33)</f>
        <v>49092.501339112103</v>
      </c>
      <c r="BC33" s="74"/>
      <c r="BD33" s="70">
        <f>M33</f>
        <v>36559.697294981204</v>
      </c>
      <c r="BE33" s="70">
        <f>M33</f>
        <v>36559.697294981204</v>
      </c>
      <c r="BF33" s="70">
        <f>M33</f>
        <v>36559.697294981204</v>
      </c>
      <c r="BG33" s="282">
        <f t="shared" ref="BG33:BG43" si="140">SUM(BD33:BF33)</f>
        <v>109679.09188494361</v>
      </c>
      <c r="BH33" s="74"/>
      <c r="BI33" s="70">
        <f>N33</f>
        <v>78987.198020966433</v>
      </c>
      <c r="BJ33" s="70">
        <f>N33</f>
        <v>78987.198020966433</v>
      </c>
      <c r="BK33" s="70">
        <f>N33</f>
        <v>78987.198020966433</v>
      </c>
      <c r="BL33" s="282">
        <f t="shared" ref="BL33:BL43" si="141">SUM(BI33:BK33)</f>
        <v>236961.5940628993</v>
      </c>
      <c r="BM33" s="74"/>
      <c r="BN33" s="70">
        <f>P33</f>
        <v>168631.32088886335</v>
      </c>
      <c r="BO33" s="70">
        <f>P33</f>
        <v>168631.32088886335</v>
      </c>
      <c r="BP33" s="70">
        <f>P33</f>
        <v>168631.32088886335</v>
      </c>
      <c r="BQ33" s="282">
        <f t="shared" ref="BQ33:BQ43" si="142">SUM(BN33:BP33)</f>
        <v>505893.96266659006</v>
      </c>
      <c r="BR33" s="74"/>
      <c r="BS33" s="70">
        <f>Q33</f>
        <v>346395.34735074308</v>
      </c>
      <c r="BT33" s="70">
        <f>Q33</f>
        <v>346395.34735074308</v>
      </c>
      <c r="BU33" s="70">
        <f>Q33</f>
        <v>346395.34735074308</v>
      </c>
      <c r="BV33" s="282">
        <f t="shared" ref="BV33:BV43" si="143">SUM(BS33:BU33)</f>
        <v>1039186.0420522292</v>
      </c>
      <c r="BW33" s="74"/>
      <c r="BX33" s="70">
        <f>R33</f>
        <v>690478.61988736142</v>
      </c>
      <c r="BY33" s="70">
        <f>R33</f>
        <v>690478.61988736142</v>
      </c>
      <c r="BZ33" s="70">
        <f>R33</f>
        <v>690478.61988736142</v>
      </c>
      <c r="CA33" s="282">
        <f t="shared" ref="CA33:CA43" si="144">SUM(BX33:BZ33)</f>
        <v>2071435.8596620844</v>
      </c>
      <c r="CB33" s="74"/>
      <c r="CC33" s="70">
        <f>S33</f>
        <v>1337448.7629757966</v>
      </c>
      <c r="CD33" s="70">
        <f>S33</f>
        <v>1337448.7629757966</v>
      </c>
      <c r="CE33" s="70">
        <f>S33</f>
        <v>1337448.7629757966</v>
      </c>
      <c r="CF33" s="282">
        <f t="shared" ref="CF33:CF43" si="145">SUM(CC33:CE33)</f>
        <v>4012346.2889273898</v>
      </c>
      <c r="CG33" s="88"/>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1" t="s">
        <v>202</v>
      </c>
      <c r="B34" s="270">
        <v>0.2</v>
      </c>
      <c r="C34" s="269">
        <v>-1.4999999999999999E-2</v>
      </c>
      <c r="D34" s="118"/>
      <c r="E34" s="117"/>
      <c r="F34" s="130">
        <v>20000</v>
      </c>
      <c r="G34" s="131">
        <v>20000</v>
      </c>
      <c r="H34" s="70">
        <f>SUM((IF(ISBLANK(D34),B34,D34)*(H30/3))+(G34))</f>
        <v>22464.46995515333</v>
      </c>
      <c r="I34" s="70">
        <f>SUM(IF(ISBLANK(D34),      (IF((1*(IF(ISBLANK(E34),C34,E34)) + B34) &lt; 0,     0,     (1*(IF(ISBLANK(E34),C34,E34)) + B34)   )),       (IF((1*(IF(ISBLANK(E34),C34,E34)) + D34) &lt; 0,     0,     (1*(IF(ISBLANK(E34),C34,E34)) + D34)   ))  )       *   (I30/3)+(H34))</f>
        <v>35119.801640132602</v>
      </c>
      <c r="J34" s="282">
        <f t="shared" ref="J34:J45" si="146">SUM(AC34+AH34+AM34+AR34)</f>
        <v>292752.8147858578</v>
      </c>
      <c r="K34" s="70">
        <f>SUM(IF(ISBLANK(D34),      (IF((2*(IF(ISBLANK(E34),C34,E34)) + B34) &lt; 0,     0,     (2*(IF(ISBLANK(E34),C34,E34)) + B34)   )),       (IF((2*(IF(ISBLANK(E34),C34,E34)) + D34) &lt; 0,     0,     (2*(IF(ISBLANK(E34),C34,E34)) + D34)   ))  )       *   (K30/3)+(I34))</f>
        <v>72538.093929506591</v>
      </c>
      <c r="L34" s="70">
        <f>SUM(IF(ISBLANK(D34),      (IF((3*(IF(ISBLANK(E34),C34,E34)) + B34) &lt; 0,     0,     (3*(IF(ISBLANK(E34),C34,E34)) + B34)   )),       (IF((3*(IF(ISBLANK(E34),C34,E34)) + D34) &lt; 0,     0,     (3*(IF(ISBLANK(E34),C34,E34)) + D34)   ))  )       *   (L30/3)+(K34))</f>
        <v>163641.67113037367</v>
      </c>
      <c r="M34" s="70">
        <f>SUM(IF(ISBLANK(D34),      (IF((4*(IF(ISBLANK(E34),C34,E34)) + B34) &lt; 0,     0,     (4*(IF(ISBLANK(E34),C34,E34)) + B34)   )),       (IF((4*(IF(ISBLANK(E34),C34,E34)) + D34) &lt; 0,     0,     (4*(IF(ISBLANK(E34),C34,E34)) + D34)   ))  )       *   (M30/3)+(L34))</f>
        <v>365596.97294981201</v>
      </c>
      <c r="N34" s="70">
        <f>SUM(IF(ISBLANK(D34),      (IF((5*(IF(ISBLANK(E34),C34,E34)) + B34) &lt; 0,     0,     (5*(IF(ISBLANK(E34),C34,E34)) + B34)   )),       (IF((5*(IF(ISBLANK(E34),C34,E34)) + D34) &lt; 0,     0,     (5*(IF(ISBLANK(E34),C34,E34)) + D34)   ))  )       *   (N30/3)+(M34))</f>
        <v>789871.98020966421</v>
      </c>
      <c r="O34" s="282">
        <f t="shared" ref="O34:O45" si="147">SUM(AW34+BB34+BG34+BL34)</f>
        <v>4174946.1546580694</v>
      </c>
      <c r="P34" s="70">
        <f>SUM(IF(ISBLANK(D34),      (IF((6*(IF(ISBLANK(E34),C34,E34)) + B34) &lt; 0,     0,     (6*(IF(ISBLANK(E34),C34,E34)) + B34)   )),       (IF((6*(IF(ISBLANK(E34),C34,E34)) + D34) &lt; 0,     0,     (6*(IF(ISBLANK(E34),C34,E34)) + D34)   ))  )       *   (P30/3)+(N34))</f>
        <v>1686313.2088886334</v>
      </c>
      <c r="Q34" s="70">
        <f>SUM(IF(ISBLANK(D34),      (IF((7*(IF(ISBLANK(E34),C34,E34)) + B34) &lt; 0,     0,     (7*(IF(ISBLANK(E34),C34,E34)) + B34)   )),       (IF((7*(IF(ISBLANK(E34),C34,E34)) + D34) &lt; 0,     0,     (7*(IF(ISBLANK(E34),C34,E34)) + D34)   ))  )       *   (Q30/3)+(P34))</f>
        <v>3463953.4735074304</v>
      </c>
      <c r="R34" s="70">
        <f>SUM(IF(ISBLANK(D34),      (IF((8*(IF(ISBLANK(E34),C34,E34)) + B34) &lt; 0,     0,     (8*(IF(ISBLANK(E34),C34,E34)) + B34)   )),       (IF((8*(IF(ISBLANK(E34),C34,E34)) + D34) &lt; 0,     0,     (8*(IF(ISBLANK(E34),C34,E34)) + D34)   ))  )       *   (R30/3)+(Q34))</f>
        <v>6904786.198873614</v>
      </c>
      <c r="S34" s="70">
        <f>SUM(IF(ISBLANK(D34),      (IF((9*(IF(ISBLANK(E34),C34,E34)) + B34) &lt; 0,     0,     (9*(IF(ISBLANK(E34),C34,E34)) + B34)   )),       (IF((9*(IF(ISBLANK(E34),C34,E34)) + D34) &lt; 0,     0,     (9*(IF(ISBLANK(E34),C34,E34)) + D34)   ))  )       *   (S30/3)+(R34))</f>
        <v>13374487.629757965</v>
      </c>
      <c r="T34" s="305">
        <f t="shared" ref="T34:T45" si="148">SUM(BQ34+BV34+CA34+CF34)</f>
        <v>76288621.533082932</v>
      </c>
      <c r="U34" s="281">
        <f>SUM(IF(ISBLANK(D34),      (IF((10*(IF(ISBLANK(E34),C34,E34)) + B34) &lt; 0,     0,     (10*(IF(ISBLANK(E34),C34,E34)) + B34)   )),       (IF((10*(IF(ISBLANK(E34),C34,E34)) + D34) &lt; 0,     0,     (10*(IF(ISBLANK(E34),C34,E34)) + D34)   ))  )       *   (U30/3)+(S34))*12</f>
        <v>878353034.736076</v>
      </c>
      <c r="V34" s="282">
        <f>SUM(IF(ISBLANK(D34),      (IF((11*(IF(ISBLANK(E34),C34,E34)) + B34) &lt; 0,     0,     (11*(IF(ISBLANK(E34),C34,E34)) + B34)   )),       (IF((11*(IF(ISBLANK(E34),C34,E34)) + D34) &lt; 0,     0,     (11*(IF(ISBLANK(E34),C34,E34)) + D34)   ))  )       *   (V30/12)+(U34/12))*12</f>
        <v>1266276405.8921051</v>
      </c>
      <c r="W34" s="283">
        <f>SUM(IF(ISBLANK(D34),      (IF((12*(IF(ISBLANK(E34),C34,E34)) + B34) &lt; 0,     0,     (12*(IF(ISBLANK(E34),C34,E34)) + B34)   )),       (IF((12*(IF(ISBLANK(E34),C34,E34)) + D34) &lt; 0,     0,     (12*(IF(ISBLANK(E34),C34,E34)) + D34)   ))  )       *   (W30/12)+(V34/12))*12</f>
        <v>1778877595.8602614</v>
      </c>
      <c r="X34" s="177"/>
      <c r="Y34" s="505">
        <f>SUM(30664+342396+71683+36198+34170+34090+28752+50203+25449+25629+23773+25295+25295+20000)</f>
        <v>773597</v>
      </c>
      <c r="Z34" s="70">
        <f t="shared" ref="Z34:Z46" si="149">F34</f>
        <v>20000</v>
      </c>
      <c r="AA34" s="70">
        <f t="shared" ref="AA34:AA46" si="150">F34</f>
        <v>20000</v>
      </c>
      <c r="AB34" s="70">
        <f t="shared" ref="AB34:AB46" si="151">F34</f>
        <v>20000</v>
      </c>
      <c r="AC34" s="282">
        <f t="shared" si="134"/>
        <v>60000</v>
      </c>
      <c r="AD34" s="74"/>
      <c r="AE34" s="70">
        <f t="shared" ref="AE34:AE46" si="152">G34</f>
        <v>20000</v>
      </c>
      <c r="AF34" s="70">
        <f t="shared" ref="AF34:AF46" si="153">G34</f>
        <v>20000</v>
      </c>
      <c r="AG34" s="70">
        <f t="shared" ref="AG34:AG46" si="154">G34</f>
        <v>20000</v>
      </c>
      <c r="AH34" s="282">
        <f t="shared" si="135"/>
        <v>60000</v>
      </c>
      <c r="AI34" s="74"/>
      <c r="AJ34" s="70">
        <f t="shared" ref="AJ34:AJ46" si="155">H34</f>
        <v>22464.46995515333</v>
      </c>
      <c r="AK34" s="70">
        <f t="shared" ref="AK34:AK46" si="156">H34</f>
        <v>22464.46995515333</v>
      </c>
      <c r="AL34" s="70">
        <f t="shared" ref="AL34:AL46" si="157">H34</f>
        <v>22464.46995515333</v>
      </c>
      <c r="AM34" s="282">
        <f t="shared" si="136"/>
        <v>67393.409865459995</v>
      </c>
      <c r="AN34" s="74"/>
      <c r="AO34" s="70">
        <f t="shared" ref="AO34:AO46" si="158">I34</f>
        <v>35119.801640132602</v>
      </c>
      <c r="AP34" s="70">
        <f t="shared" ref="AP34:AP46" si="159">I34</f>
        <v>35119.801640132602</v>
      </c>
      <c r="AQ34" s="70">
        <f t="shared" ref="AQ34:AQ46" si="160">I34</f>
        <v>35119.801640132602</v>
      </c>
      <c r="AR34" s="282">
        <f t="shared" si="137"/>
        <v>105359.40492039781</v>
      </c>
      <c r="AS34" s="74"/>
      <c r="AT34" s="70">
        <f t="shared" ref="AT34:AT46" si="161">K34</f>
        <v>72538.093929506591</v>
      </c>
      <c r="AU34" s="70">
        <f t="shared" ref="AU34:AU46" si="162">K34</f>
        <v>72538.093929506591</v>
      </c>
      <c r="AV34" s="70">
        <f t="shared" ref="AV34:AV46" si="163">K34</f>
        <v>72538.093929506591</v>
      </c>
      <c r="AW34" s="282">
        <f t="shared" si="138"/>
        <v>217614.28178851976</v>
      </c>
      <c r="AX34" s="74"/>
      <c r="AY34" s="70">
        <f t="shared" ref="AY34:AY46" si="164">L34</f>
        <v>163641.67113037367</v>
      </c>
      <c r="AZ34" s="70">
        <f t="shared" ref="AZ34:AZ46" si="165">L34</f>
        <v>163641.67113037367</v>
      </c>
      <c r="BA34" s="70">
        <f t="shared" ref="BA34:BA46" si="166">L34</f>
        <v>163641.67113037367</v>
      </c>
      <c r="BB34" s="282">
        <f t="shared" si="139"/>
        <v>490925.013391121</v>
      </c>
      <c r="BC34" s="74"/>
      <c r="BD34" s="70">
        <f t="shared" ref="BD34:BD46" si="167">M34</f>
        <v>365596.97294981201</v>
      </c>
      <c r="BE34" s="70">
        <f t="shared" ref="BE34:BE46" si="168">M34</f>
        <v>365596.97294981201</v>
      </c>
      <c r="BF34" s="70">
        <f t="shared" ref="BF34:BF46" si="169">M34</f>
        <v>365596.97294981201</v>
      </c>
      <c r="BG34" s="282">
        <f t="shared" si="140"/>
        <v>1096790.9188494361</v>
      </c>
      <c r="BH34" s="74"/>
      <c r="BI34" s="70">
        <f t="shared" ref="BI34:BI46" si="170">N34</f>
        <v>789871.98020966421</v>
      </c>
      <c r="BJ34" s="70">
        <f t="shared" ref="BJ34:BJ46" si="171">N34</f>
        <v>789871.98020966421</v>
      </c>
      <c r="BK34" s="70">
        <f t="shared" ref="BK34:BK46" si="172">N34</f>
        <v>789871.98020966421</v>
      </c>
      <c r="BL34" s="282">
        <f t="shared" si="141"/>
        <v>2369615.9406289924</v>
      </c>
      <c r="BM34" s="74"/>
      <c r="BN34" s="70">
        <f t="shared" ref="BN34:BN46" si="173">P34</f>
        <v>1686313.2088886334</v>
      </c>
      <c r="BO34" s="70">
        <f t="shared" ref="BO34:BO43" si="174">P34</f>
        <v>1686313.2088886334</v>
      </c>
      <c r="BP34" s="70">
        <f t="shared" ref="BP34:BP46" si="175">P34</f>
        <v>1686313.2088886334</v>
      </c>
      <c r="BQ34" s="282">
        <f t="shared" si="142"/>
        <v>5058939.6266659005</v>
      </c>
      <c r="BR34" s="74"/>
      <c r="BS34" s="70">
        <f t="shared" ref="BS34:BS46" si="176">Q34</f>
        <v>3463953.4735074304</v>
      </c>
      <c r="BT34" s="70">
        <f t="shared" ref="BT34:BT46" si="177">Q34</f>
        <v>3463953.4735074304</v>
      </c>
      <c r="BU34" s="70">
        <f t="shared" ref="BU34:BU46" si="178">Q34</f>
        <v>3463953.4735074304</v>
      </c>
      <c r="BV34" s="282">
        <f t="shared" si="143"/>
        <v>10391860.420522291</v>
      </c>
      <c r="BW34" s="74"/>
      <c r="BX34" s="70">
        <f t="shared" ref="BX34:BX46" si="179">R34</f>
        <v>6904786.198873614</v>
      </c>
      <c r="BY34" s="70">
        <f t="shared" ref="BY34:BY46" si="180">R34</f>
        <v>6904786.198873614</v>
      </c>
      <c r="BZ34" s="70">
        <f t="shared" ref="BZ34:BZ46" si="181">R34</f>
        <v>6904786.198873614</v>
      </c>
      <c r="CA34" s="282">
        <f t="shared" si="144"/>
        <v>20714358.596620843</v>
      </c>
      <c r="CB34" s="74"/>
      <c r="CC34" s="70">
        <f t="shared" ref="CC34:CC46" si="182">S34</f>
        <v>13374487.629757965</v>
      </c>
      <c r="CD34" s="70">
        <f t="shared" ref="CD34:CD46" si="183">S34</f>
        <v>13374487.629757965</v>
      </c>
      <c r="CE34" s="70">
        <f t="shared" ref="CE34:CE46" si="184">S34</f>
        <v>13374487.629757965</v>
      </c>
      <c r="CF34" s="282">
        <f t="shared" si="145"/>
        <v>40123462.889273897</v>
      </c>
      <c r="CG34" s="88"/>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1" t="s">
        <v>203</v>
      </c>
      <c r="B35" s="281">
        <v>0</v>
      </c>
      <c r="C35" s="269">
        <v>0.02</v>
      </c>
      <c r="D35" s="116"/>
      <c r="E35" s="117"/>
      <c r="F35" s="104">
        <f>SUM((IF(ISBLANK(D35),B35,D35))+(F34*(IF(ISBLANK(E35),C35,E35))))</f>
        <v>400</v>
      </c>
      <c r="G35" s="70">
        <f>SUM((IF(ISBLANK(D35),B35,D35))+(G34*(IF(ISBLANK(E35),C35,E35))))</f>
        <v>400</v>
      </c>
      <c r="H35" s="70">
        <f>SUM((IF(ISBLANK(D35),B35,D35))+(H34*(IF(ISBLANK(E35),C35,E35))))</f>
        <v>449.28939910306661</v>
      </c>
      <c r="I35" s="70">
        <f>SUM((IF(ISBLANK(D35),B35,D35))+(I34*(IF(ISBLANK(E35),C35,E35))))</f>
        <v>702.39603280265203</v>
      </c>
      <c r="J35" s="282">
        <f t="shared" si="146"/>
        <v>5855.056295717156</v>
      </c>
      <c r="K35" s="70">
        <f>SUM((IF(ISBLANK(D35),B35,D35))+(K34*(IF(ISBLANK(E35),C35,E35))))</f>
        <v>1450.7618785901318</v>
      </c>
      <c r="L35" s="70">
        <f>SUM((IF(ISBLANK(D35),B35,D35))+(L34*(IF(ISBLANK(E35),C35,E35))))</f>
        <v>3272.8334226074735</v>
      </c>
      <c r="M35" s="70">
        <f>SUM((IF(ISBLANK(D35),B35,D35))+(M34*(IF(ISBLANK(E35),C35,E35))))</f>
        <v>7311.9394589962403</v>
      </c>
      <c r="N35" s="70">
        <f>SUM((IF(ISBLANK(D35),B35,D35))+(N34*(IF(ISBLANK(E35),C35,E35))))</f>
        <v>15797.439604193285</v>
      </c>
      <c r="O35" s="282">
        <f t="shared" si="147"/>
        <v>83498.9230931614</v>
      </c>
      <c r="P35" s="70">
        <f>SUM((IF(ISBLANK(D35),B35,D35))+(P34*(IF(ISBLANK(E35),C35,E35))))</f>
        <v>33726.264177772668</v>
      </c>
      <c r="Q35" s="70">
        <f>SUM((IF(ISBLANK(D35),B35,D35))+(Q34*(IF(ISBLANK(E35),C35,E35))))</f>
        <v>69279.069470148606</v>
      </c>
      <c r="R35" s="70">
        <f>SUM((IF(ISBLANK(D35),B35,D35))+(R34*(IF(ISBLANK(E35),C35,E35))))</f>
        <v>138095.72397747228</v>
      </c>
      <c r="S35" s="70">
        <f>SUM((IF(ISBLANK(D35),B35,D35))+(S34*(IF(ISBLANK(E35),C35,E35))))</f>
        <v>267489.75259515928</v>
      </c>
      <c r="T35" s="305">
        <f t="shared" si="148"/>
        <v>1525772.4306616585</v>
      </c>
      <c r="U35" s="281">
        <f>SUM((IF(ISBLANK(D35),B35,D35))+(U34*(IF(ISBLANK(E35),C35,E35))))</f>
        <v>17567060.69472152</v>
      </c>
      <c r="V35" s="282">
        <f>SUM((IF(ISBLANK(D35),B35,D35))+(V34*(IF(ISBLANK(E35),C35,E35))))</f>
        <v>25325528.117842104</v>
      </c>
      <c r="W35" s="283">
        <f>SUM((IF(ISBLANK(D35),B35,D35))+(W34*(IF(ISBLANK(E35),C35,E35))))</f>
        <v>35577551.917205229</v>
      </c>
      <c r="X35" s="177"/>
      <c r="Y35" s="505">
        <v>4000</v>
      </c>
      <c r="Z35" s="70">
        <f t="shared" si="149"/>
        <v>400</v>
      </c>
      <c r="AA35" s="70">
        <f t="shared" si="150"/>
        <v>400</v>
      </c>
      <c r="AB35" s="70">
        <f t="shared" si="151"/>
        <v>400</v>
      </c>
      <c r="AC35" s="282">
        <f t="shared" si="134"/>
        <v>1200</v>
      </c>
      <c r="AD35" s="74"/>
      <c r="AE35" s="70">
        <f t="shared" si="152"/>
        <v>400</v>
      </c>
      <c r="AF35" s="70">
        <f t="shared" si="153"/>
        <v>400</v>
      </c>
      <c r="AG35" s="70">
        <f t="shared" si="154"/>
        <v>400</v>
      </c>
      <c r="AH35" s="282">
        <f t="shared" si="135"/>
        <v>1200</v>
      </c>
      <c r="AI35" s="74"/>
      <c r="AJ35" s="70">
        <f t="shared" si="155"/>
        <v>449.28939910306661</v>
      </c>
      <c r="AK35" s="70">
        <f t="shared" si="156"/>
        <v>449.28939910306661</v>
      </c>
      <c r="AL35" s="70">
        <f t="shared" si="157"/>
        <v>449.28939910306661</v>
      </c>
      <c r="AM35" s="282">
        <f t="shared" si="136"/>
        <v>1347.8681973091998</v>
      </c>
      <c r="AN35" s="74"/>
      <c r="AO35" s="70">
        <f t="shared" si="158"/>
        <v>702.39603280265203</v>
      </c>
      <c r="AP35" s="70">
        <f t="shared" si="159"/>
        <v>702.39603280265203</v>
      </c>
      <c r="AQ35" s="70">
        <f t="shared" si="160"/>
        <v>702.39603280265203</v>
      </c>
      <c r="AR35" s="282">
        <f t="shared" si="137"/>
        <v>2107.1880984079562</v>
      </c>
      <c r="AS35" s="74"/>
      <c r="AT35" s="70">
        <f t="shared" si="161"/>
        <v>1450.7618785901318</v>
      </c>
      <c r="AU35" s="70">
        <f t="shared" si="162"/>
        <v>1450.7618785901318</v>
      </c>
      <c r="AV35" s="70">
        <f t="shared" si="163"/>
        <v>1450.7618785901318</v>
      </c>
      <c r="AW35" s="282">
        <f t="shared" si="138"/>
        <v>4352.2856357703949</v>
      </c>
      <c r="AX35" s="74"/>
      <c r="AY35" s="70">
        <f t="shared" si="164"/>
        <v>3272.8334226074735</v>
      </c>
      <c r="AZ35" s="70">
        <f t="shared" si="165"/>
        <v>3272.8334226074735</v>
      </c>
      <c r="BA35" s="70">
        <f t="shared" si="166"/>
        <v>3272.8334226074735</v>
      </c>
      <c r="BB35" s="282">
        <f t="shared" si="139"/>
        <v>9818.5002678224209</v>
      </c>
      <c r="BC35" s="74"/>
      <c r="BD35" s="70">
        <f t="shared" si="167"/>
        <v>7311.9394589962403</v>
      </c>
      <c r="BE35" s="70">
        <f t="shared" si="168"/>
        <v>7311.9394589962403</v>
      </c>
      <c r="BF35" s="70">
        <f t="shared" si="169"/>
        <v>7311.9394589962403</v>
      </c>
      <c r="BG35" s="282">
        <f t="shared" si="140"/>
        <v>21935.818376988722</v>
      </c>
      <c r="BH35" s="74"/>
      <c r="BI35" s="70">
        <f t="shared" si="170"/>
        <v>15797.439604193285</v>
      </c>
      <c r="BJ35" s="70">
        <f t="shared" si="171"/>
        <v>15797.439604193285</v>
      </c>
      <c r="BK35" s="70">
        <f t="shared" si="172"/>
        <v>15797.439604193285</v>
      </c>
      <c r="BL35" s="282">
        <f t="shared" si="141"/>
        <v>47392.318812579855</v>
      </c>
      <c r="BM35" s="74"/>
      <c r="BN35" s="70">
        <f t="shared" si="173"/>
        <v>33726.264177772668</v>
      </c>
      <c r="BO35" s="70">
        <f t="shared" si="174"/>
        <v>33726.264177772668</v>
      </c>
      <c r="BP35" s="70">
        <f t="shared" si="175"/>
        <v>33726.264177772668</v>
      </c>
      <c r="BQ35" s="282">
        <f t="shared" si="142"/>
        <v>101178.792533318</v>
      </c>
      <c r="BR35" s="74"/>
      <c r="BS35" s="70">
        <f t="shared" si="176"/>
        <v>69279.069470148606</v>
      </c>
      <c r="BT35" s="70">
        <f t="shared" si="177"/>
        <v>69279.069470148606</v>
      </c>
      <c r="BU35" s="70">
        <f t="shared" si="178"/>
        <v>69279.069470148606</v>
      </c>
      <c r="BV35" s="282">
        <f t="shared" si="143"/>
        <v>207837.20841044583</v>
      </c>
      <c r="BW35" s="74"/>
      <c r="BX35" s="70">
        <f t="shared" si="179"/>
        <v>138095.72397747228</v>
      </c>
      <c r="BY35" s="70">
        <f t="shared" si="180"/>
        <v>138095.72397747228</v>
      </c>
      <c r="BZ35" s="70">
        <f t="shared" si="181"/>
        <v>138095.72397747228</v>
      </c>
      <c r="CA35" s="282">
        <f t="shared" si="144"/>
        <v>414287.17193241685</v>
      </c>
      <c r="CB35" s="74"/>
      <c r="CC35" s="70">
        <f t="shared" si="182"/>
        <v>267489.75259515928</v>
      </c>
      <c r="CD35" s="70">
        <f t="shared" si="183"/>
        <v>267489.75259515928</v>
      </c>
      <c r="CE35" s="70">
        <f t="shared" si="184"/>
        <v>267489.75259515928</v>
      </c>
      <c r="CF35" s="282">
        <f t="shared" si="145"/>
        <v>802469.25778547791</v>
      </c>
      <c r="CG35" s="88"/>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1" t="s">
        <v>204</v>
      </c>
      <c r="B36" s="281">
        <v>1500</v>
      </c>
      <c r="C36" s="269">
        <v>0.08</v>
      </c>
      <c r="D36" s="116"/>
      <c r="E36" s="117"/>
      <c r="F36" s="104">
        <f>SUM((IF(ISBLANK(D36),B36,D36))+(F34*(IF(ISBLANK(E36),C36,E36))))</f>
        <v>3100</v>
      </c>
      <c r="G36" s="70">
        <f>SUM((IF(ISBLANK(D36),B36,D36))+(G34*(IF(ISBLANK(E36),C36,E36))))</f>
        <v>3100</v>
      </c>
      <c r="H36" s="70">
        <f>SUM((IF(ISBLANK(D36),B36,D36))+(H34*(IF(ISBLANK(E36),C36,E36))))</f>
        <v>3297.1575964122667</v>
      </c>
      <c r="I36" s="70">
        <f>SUM((IF(ISBLANK(D36),B36,D36))+(I34*(IF(ISBLANK(E36),C36,E36))))</f>
        <v>4309.5841312106077</v>
      </c>
      <c r="J36" s="282">
        <f t="shared" si="146"/>
        <v>41420.22518286862</v>
      </c>
      <c r="K36" s="70">
        <f>SUM((IF(ISBLANK(D36),B36,D36))+(K34*(IF(ISBLANK(E36),C36,E36))))</f>
        <v>7303.0475143605272</v>
      </c>
      <c r="L36" s="70">
        <f>SUM((IF(ISBLANK(D36),B36,D36))+(L34*(IF(ISBLANK(E36),C36,E36))))</f>
        <v>14591.333690429894</v>
      </c>
      <c r="M36" s="70">
        <f>SUM((IF(ISBLANK(D36),B36,D36))+(M34*(IF(ISBLANK(E36),C36,E36))))</f>
        <v>30747.757835984961</v>
      </c>
      <c r="N36" s="70">
        <f>SUM((IF(ISBLANK(D36),B36,D36))+(N34*(IF(ISBLANK(E36),C36,E36))))</f>
        <v>64689.75841677314</v>
      </c>
      <c r="O36" s="282">
        <f t="shared" si="147"/>
        <v>351995.6923726456</v>
      </c>
      <c r="P36" s="70">
        <f>SUM((IF(ISBLANK(D36),B36,D36))+(P34*(IF(ISBLANK(E36),C36,E36))))</f>
        <v>136405.05671109067</v>
      </c>
      <c r="Q36" s="70">
        <f>SUM((IF(ISBLANK(D36),B36,D36))+(Q34*(IF(ISBLANK(E36),C36,E36))))</f>
        <v>278616.27788059443</v>
      </c>
      <c r="R36" s="70">
        <f>SUM((IF(ISBLANK(D36),B36,D36))+(R34*(IF(ISBLANK(E36),C36,E36))))</f>
        <v>553882.89590988914</v>
      </c>
      <c r="S36" s="70">
        <f>SUM((IF(ISBLANK(D36),B36,D36))+(S34*(IF(ISBLANK(E36),C36,E36))))</f>
        <v>1071459.0103806371</v>
      </c>
      <c r="T36" s="305">
        <f t="shared" si="148"/>
        <v>6121089.7226466341</v>
      </c>
      <c r="U36" s="281">
        <f>SUM((IF(ISBLANK(D36),B36,D36))+(U34*(IF(ISBLANK(E36),C36,E36))))</f>
        <v>70269742.77888608</v>
      </c>
      <c r="V36" s="282">
        <f>SUM((IF(ISBLANK(D36),B36,D36))+(V34*(IF(ISBLANK(E36),C36,E36))))</f>
        <v>101303612.47136842</v>
      </c>
      <c r="W36" s="283">
        <f>SUM((IF(ISBLANK(D36),B36,D36))+(W34*(IF(ISBLANK(E36),C36,E36))))</f>
        <v>142311707.66882092</v>
      </c>
      <c r="X36" s="177"/>
      <c r="Y36" s="505">
        <f>SUM(3832+10734+12859+20000)</f>
        <v>47425</v>
      </c>
      <c r="Z36" s="70">
        <f t="shared" si="149"/>
        <v>3100</v>
      </c>
      <c r="AA36" s="70">
        <f t="shared" si="150"/>
        <v>3100</v>
      </c>
      <c r="AB36" s="70">
        <f t="shared" si="151"/>
        <v>3100</v>
      </c>
      <c r="AC36" s="282">
        <f t="shared" si="134"/>
        <v>9300</v>
      </c>
      <c r="AD36" s="74"/>
      <c r="AE36" s="70">
        <f t="shared" si="152"/>
        <v>3100</v>
      </c>
      <c r="AF36" s="70">
        <f t="shared" si="153"/>
        <v>3100</v>
      </c>
      <c r="AG36" s="70">
        <f t="shared" si="154"/>
        <v>3100</v>
      </c>
      <c r="AH36" s="282">
        <f t="shared" si="135"/>
        <v>9300</v>
      </c>
      <c r="AI36" s="74"/>
      <c r="AJ36" s="70">
        <f t="shared" si="155"/>
        <v>3297.1575964122667</v>
      </c>
      <c r="AK36" s="70">
        <f t="shared" si="156"/>
        <v>3297.1575964122667</v>
      </c>
      <c r="AL36" s="70">
        <f t="shared" si="157"/>
        <v>3297.1575964122667</v>
      </c>
      <c r="AM36" s="282">
        <f t="shared" si="136"/>
        <v>9891.4727892367991</v>
      </c>
      <c r="AN36" s="74"/>
      <c r="AO36" s="70">
        <f t="shared" si="158"/>
        <v>4309.5841312106077</v>
      </c>
      <c r="AP36" s="70">
        <f t="shared" si="159"/>
        <v>4309.5841312106077</v>
      </c>
      <c r="AQ36" s="70">
        <f t="shared" si="160"/>
        <v>4309.5841312106077</v>
      </c>
      <c r="AR36" s="282">
        <f t="shared" si="137"/>
        <v>12928.752393631823</v>
      </c>
      <c r="AS36" s="74"/>
      <c r="AT36" s="70">
        <f t="shared" si="161"/>
        <v>7303.0475143605272</v>
      </c>
      <c r="AU36" s="70">
        <f t="shared" si="162"/>
        <v>7303.0475143605272</v>
      </c>
      <c r="AV36" s="70">
        <f t="shared" si="163"/>
        <v>7303.0475143605272</v>
      </c>
      <c r="AW36" s="282">
        <f t="shared" si="138"/>
        <v>21909.14254308158</v>
      </c>
      <c r="AX36" s="74"/>
      <c r="AY36" s="70">
        <f t="shared" si="164"/>
        <v>14591.333690429894</v>
      </c>
      <c r="AZ36" s="70">
        <f>L36</f>
        <v>14591.333690429894</v>
      </c>
      <c r="BA36" s="70">
        <f t="shared" si="166"/>
        <v>14591.333690429894</v>
      </c>
      <c r="BB36" s="282">
        <f t="shared" si="139"/>
        <v>43774.001071289684</v>
      </c>
      <c r="BC36" s="74"/>
      <c r="BD36" s="70">
        <f t="shared" si="167"/>
        <v>30747.757835984961</v>
      </c>
      <c r="BE36" s="70">
        <f t="shared" si="168"/>
        <v>30747.757835984961</v>
      </c>
      <c r="BF36" s="70">
        <f t="shared" si="169"/>
        <v>30747.757835984961</v>
      </c>
      <c r="BG36" s="282">
        <f t="shared" si="140"/>
        <v>92243.273507954887</v>
      </c>
      <c r="BH36" s="74"/>
      <c r="BI36" s="70">
        <f t="shared" si="170"/>
        <v>64689.75841677314</v>
      </c>
      <c r="BJ36" s="70">
        <f t="shared" si="171"/>
        <v>64689.75841677314</v>
      </c>
      <c r="BK36" s="70">
        <f t="shared" si="172"/>
        <v>64689.75841677314</v>
      </c>
      <c r="BL36" s="282">
        <f t="shared" si="141"/>
        <v>194069.27525031942</v>
      </c>
      <c r="BM36" s="74"/>
      <c r="BN36" s="70">
        <f t="shared" si="173"/>
        <v>136405.05671109067</v>
      </c>
      <c r="BO36" s="70">
        <f t="shared" si="174"/>
        <v>136405.05671109067</v>
      </c>
      <c r="BP36" s="70">
        <f t="shared" si="175"/>
        <v>136405.05671109067</v>
      </c>
      <c r="BQ36" s="282">
        <f t="shared" si="142"/>
        <v>409215.17013327201</v>
      </c>
      <c r="BR36" s="74"/>
      <c r="BS36" s="70">
        <f t="shared" si="176"/>
        <v>278616.27788059443</v>
      </c>
      <c r="BT36" s="70">
        <f t="shared" si="177"/>
        <v>278616.27788059443</v>
      </c>
      <c r="BU36" s="70">
        <f t="shared" si="178"/>
        <v>278616.27788059443</v>
      </c>
      <c r="BV36" s="282">
        <f t="shared" si="143"/>
        <v>835848.83364178333</v>
      </c>
      <c r="BW36" s="74"/>
      <c r="BX36" s="70">
        <f t="shared" si="179"/>
        <v>553882.89590988914</v>
      </c>
      <c r="BY36" s="70">
        <f t="shared" si="180"/>
        <v>553882.89590988914</v>
      </c>
      <c r="BZ36" s="70">
        <f t="shared" si="181"/>
        <v>553882.89590988914</v>
      </c>
      <c r="CA36" s="282">
        <f t="shared" si="144"/>
        <v>1661648.6877296674</v>
      </c>
      <c r="CB36" s="74"/>
      <c r="CC36" s="70">
        <f t="shared" si="182"/>
        <v>1071459.0103806371</v>
      </c>
      <c r="CD36" s="70">
        <f t="shared" si="183"/>
        <v>1071459.0103806371</v>
      </c>
      <c r="CE36" s="70">
        <f t="shared" si="184"/>
        <v>1071459.0103806371</v>
      </c>
      <c r="CF36" s="282">
        <f t="shared" si="145"/>
        <v>3214377.0311419116</v>
      </c>
      <c r="CG36" s="88"/>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1" t="s">
        <v>205</v>
      </c>
      <c r="B37" s="260">
        <v>0.3</v>
      </c>
      <c r="C37" s="293">
        <v>-1.4999999999999999E-2</v>
      </c>
      <c r="D37" s="118"/>
      <c r="E37" s="117"/>
      <c r="F37" s="104">
        <f>SUM((IF(AC21*((0*(IF(ISBLANK(E37),C37,E37)))+IF(ISBLANK(D37),B37,D37)) &lt; 0, 0, (AC21*((0*(IF(ISBLANK(E37),C37,E37)))+IF(ISBLANK(D37),B37,D37)))))/3)</f>
        <v>0</v>
      </c>
      <c r="G37" s="70">
        <f>SUM((IF(AH21*((0*(IF(ISBLANK(E37),C37,E37)))+IF(ISBLANK(D37),B37,D37)) &lt; 0, 0, (AH21*((0*(IF(ISBLANK(E37),C37,E37)))+IF(ISBLANK(D37),B37,D37)))))/3)</f>
        <v>0</v>
      </c>
      <c r="H37" s="70">
        <f>SUM((IF(AM21*((0*(IF(ISBLANK(E37),C37,E37)))+IF(ISBLANK(D37),B37,D37)) &lt; 0, 0, (AM21*((0*(IF(ISBLANK(E37),C37,E37)))+IF(ISBLANK(D37),B37,D37)))))/3)</f>
        <v>3696.7049327299969</v>
      </c>
      <c r="I37" s="70">
        <f>SUM((IF(AR21*((1*(IF(ISBLANK(E37),C37,E37)))+IF(ISBLANK(D37),B37,D37)) &lt; 0, 0, (AR21*((1*(IF(ISBLANK(E37),C37,E37)))+IF(ISBLANK(D37),B37,D37)))))/3)</f>
        <v>11822.07379082739</v>
      </c>
      <c r="J37" s="282">
        <f t="shared" si="146"/>
        <v>46556.336170672163</v>
      </c>
      <c r="K37" s="70">
        <f>SUM((IF(AW21*((2*(IF(ISBLANK(E37),C37,E37)))+IF(ISBLANK(D37),B37,D37)) &lt; 0, 0, (AW21*((2*(IF(ISBLANK(E37),C37,E37)))+IF(ISBLANK(D37),B37,D37)))))/3)</f>
        <v>28384.025055328468</v>
      </c>
      <c r="L37" s="70">
        <f>SUM((IF(BB21*((3*(IF(ISBLANK(E37),C37,E37)))+IF(ISBLANK(D37),B37,D37)) &lt; 0, 0, (BB21*((3*(IF(ISBLANK(E37),C37,E37)))+IF(ISBLANK(D37),B37,D37)))))/3)</f>
        <v>61869.102221369023</v>
      </c>
      <c r="M37" s="70">
        <f>SUM((IF(BG21*((4*(IF(ISBLANK(E37),C37,E37)))+IF(ISBLANK(D37),B37,D37)) &lt; 0, 0, (BG21*((4*(IF(ISBLANK(E37),C37,E37)))+IF(ISBLANK(D37),B37,D37)))))/3)</f>
        <v>128591.94728094846</v>
      </c>
      <c r="N37" s="70">
        <f>SUM((IF(BL21*((5*(IF(ISBLANK(E37),C37,E37)))+IF(ISBLANK(D37),B37,D37)) &lt; 0, 0, (BL21*((5*(IF(ISBLANK(E37),C37,E37)))+IF(ISBLANK(D37),B37,D37)))))/3)</f>
        <v>261750.30689821535</v>
      </c>
      <c r="O37" s="282">
        <f t="shared" si="147"/>
        <v>1441786.144367584</v>
      </c>
      <c r="P37" s="70">
        <f>SUM((IF(BQ21*((6*(IF(ISBLANK(E37),C37,E37)))+IF(ISBLANK(D37),B37,D37)) &lt; 0, 0, (BQ21*((6*(IF(ISBLANK(E37),C37,E37)))+IF(ISBLANK(D37),B37,D37)))))/3)</f>
        <v>526580.8616016322</v>
      </c>
      <c r="Q37" s="70">
        <f>SUM((IF(BV21*((7*(IF(ISBLANK(E37),C37,E37)))+IF(ISBLANK(D37),B37,D37)) &lt; 0, 0, (BV21*((7*(IF(ISBLANK(E37),C37,E37)))+IF(ISBLANK(D37),B37,D37)))))/3)</f>
        <v>1050102.3656201304</v>
      </c>
      <c r="R37" s="70">
        <f>SUM((IF(CA21*((8*(IF(ISBLANK(E37),C37,E37)))+IF(ISBLANK(D37),B37,D37)) &lt; 0, 0, (CA21*((8*(IF(ISBLANK(E37),C37,E37)))+IF(ISBLANK(D37),B37,D37)))))/3)</f>
        <v>2109610.8097682125</v>
      </c>
      <c r="S37" s="70">
        <f>SUM((IF(CF21*((9*(IF(ISBLANK(E37),C37,E37)))+IF(ISBLANK(D37),B37,D37)) &lt; 0, 0, (CF21*((9*(IF(ISBLANK(E37),C37,E37)))+IF(ISBLANK(D37),B37,D37)))))/3)</f>
        <v>4276057.5391293401</v>
      </c>
      <c r="T37" s="305">
        <f t="shared" si="148"/>
        <v>23887054.728357948</v>
      </c>
      <c r="U37" s="281">
        <f>SUM((IF((U21*U18)*((10*(IF(ISBLANK(E37),C37,E37)))+IF(ISBLANK(D37),B37,D37)) &lt; 0, 0, ((U21*U18)*((10*(IF(ISBLANK(E37),C37,E37)))+IF(ISBLANK(D37),B37,D37))))))</f>
        <v>196624836.84847677</v>
      </c>
      <c r="V37" s="282">
        <f>SUM((IF((V21*V18)*((10*(IF(ISBLANK(E37),C37,E37)))+IF(ISBLANK(D37),B37,D37)) &lt; 0, 0, ((V21*V18)*((10*(IF(ISBLANK(E37),C37,E37)))+IF(ISBLANK(D37),B37,D37))))))</f>
        <v>545271813.03924572</v>
      </c>
      <c r="W37" s="283">
        <f>SUM((IF((W21*W18)*((10*(IF(ISBLANK(E37),C37,E37)))+IF(ISBLANK(D37),B37,D37)) &lt; 0, 0, ((W21*W18)*((10*(IF(ISBLANK(E37),C37,E37)))+IF(ISBLANK(D37),B37,D37))))))</f>
        <v>1093482278.1921763</v>
      </c>
      <c r="X37" s="177"/>
      <c r="Y37" s="505">
        <v>0</v>
      </c>
      <c r="Z37" s="70">
        <f t="shared" si="149"/>
        <v>0</v>
      </c>
      <c r="AA37" s="70">
        <f t="shared" si="150"/>
        <v>0</v>
      </c>
      <c r="AB37" s="70">
        <f t="shared" si="151"/>
        <v>0</v>
      </c>
      <c r="AC37" s="282">
        <f>SUM(Z37:AB37)</f>
        <v>0</v>
      </c>
      <c r="AD37" s="74"/>
      <c r="AE37" s="70">
        <f t="shared" si="152"/>
        <v>0</v>
      </c>
      <c r="AF37" s="70">
        <f t="shared" si="153"/>
        <v>0</v>
      </c>
      <c r="AG37" s="70">
        <f t="shared" si="154"/>
        <v>0</v>
      </c>
      <c r="AH37" s="282">
        <f>SUM(AE37:AG37)</f>
        <v>0</v>
      </c>
      <c r="AI37" s="74"/>
      <c r="AJ37" s="70">
        <f t="shared" si="155"/>
        <v>3696.7049327299969</v>
      </c>
      <c r="AK37" s="70">
        <f t="shared" si="156"/>
        <v>3696.7049327299969</v>
      </c>
      <c r="AL37" s="70">
        <f t="shared" si="157"/>
        <v>3696.7049327299969</v>
      </c>
      <c r="AM37" s="282">
        <f>SUM(AJ37:AL37)</f>
        <v>11090.11479818999</v>
      </c>
      <c r="AN37" s="74"/>
      <c r="AO37" s="70">
        <f t="shared" si="158"/>
        <v>11822.07379082739</v>
      </c>
      <c r="AP37" s="70">
        <f t="shared" si="159"/>
        <v>11822.07379082739</v>
      </c>
      <c r="AQ37" s="70">
        <f t="shared" si="160"/>
        <v>11822.07379082739</v>
      </c>
      <c r="AR37" s="282">
        <f>SUM(AO37:AQ37)</f>
        <v>35466.22137248217</v>
      </c>
      <c r="AS37" s="74"/>
      <c r="AT37" s="70">
        <f t="shared" si="161"/>
        <v>28384.025055328468</v>
      </c>
      <c r="AU37" s="70">
        <f t="shared" si="162"/>
        <v>28384.025055328468</v>
      </c>
      <c r="AV37" s="70">
        <f t="shared" si="163"/>
        <v>28384.025055328468</v>
      </c>
      <c r="AW37" s="282">
        <f>SUM(AT37:AV37)</f>
        <v>85152.0751659854</v>
      </c>
      <c r="AX37" s="74"/>
      <c r="AY37" s="70">
        <f t="shared" si="164"/>
        <v>61869.102221369023</v>
      </c>
      <c r="AZ37" s="70">
        <f>L37</f>
        <v>61869.102221369023</v>
      </c>
      <c r="BA37" s="70">
        <f t="shared" si="166"/>
        <v>61869.102221369023</v>
      </c>
      <c r="BB37" s="282">
        <f>SUM(AY37:BA37)</f>
        <v>185607.30666410708</v>
      </c>
      <c r="BC37" s="74"/>
      <c r="BD37" s="70">
        <f t="shared" si="167"/>
        <v>128591.94728094846</v>
      </c>
      <c r="BE37" s="70">
        <f t="shared" si="168"/>
        <v>128591.94728094846</v>
      </c>
      <c r="BF37" s="70">
        <f t="shared" si="169"/>
        <v>128591.94728094846</v>
      </c>
      <c r="BG37" s="282">
        <f>SUM(BD37:BF37)</f>
        <v>385775.84184284537</v>
      </c>
      <c r="BH37" s="74"/>
      <c r="BI37" s="70">
        <f t="shared" si="170"/>
        <v>261750.30689821535</v>
      </c>
      <c r="BJ37" s="70">
        <f t="shared" si="171"/>
        <v>261750.30689821535</v>
      </c>
      <c r="BK37" s="70">
        <f t="shared" si="172"/>
        <v>261750.30689821535</v>
      </c>
      <c r="BL37" s="282">
        <f>SUM(BI37:BK37)</f>
        <v>785250.92069464608</v>
      </c>
      <c r="BM37" s="74"/>
      <c r="BN37" s="70">
        <f t="shared" si="173"/>
        <v>526580.8616016322</v>
      </c>
      <c r="BO37" s="70">
        <f t="shared" si="174"/>
        <v>526580.8616016322</v>
      </c>
      <c r="BP37" s="70">
        <f t="shared" si="175"/>
        <v>526580.8616016322</v>
      </c>
      <c r="BQ37" s="282">
        <f>SUM(BN37:BP37)</f>
        <v>1579742.5848048967</v>
      </c>
      <c r="BR37" s="74"/>
      <c r="BS37" s="70">
        <f t="shared" si="176"/>
        <v>1050102.3656201304</v>
      </c>
      <c r="BT37" s="70">
        <f t="shared" si="177"/>
        <v>1050102.3656201304</v>
      </c>
      <c r="BU37" s="70">
        <f t="shared" si="178"/>
        <v>1050102.3656201304</v>
      </c>
      <c r="BV37" s="282">
        <f>SUM(BS37:BU37)</f>
        <v>3150307.0968603911</v>
      </c>
      <c r="BW37" s="74"/>
      <c r="BX37" s="70">
        <f t="shared" si="179"/>
        <v>2109610.8097682125</v>
      </c>
      <c r="BY37" s="70">
        <f t="shared" si="180"/>
        <v>2109610.8097682125</v>
      </c>
      <c r="BZ37" s="70">
        <f t="shared" si="181"/>
        <v>2109610.8097682125</v>
      </c>
      <c r="CA37" s="282">
        <f>SUM(BX37:BZ37)</f>
        <v>6328832.429304637</v>
      </c>
      <c r="CB37" s="74"/>
      <c r="CC37" s="70">
        <f t="shared" si="182"/>
        <v>4276057.5391293401</v>
      </c>
      <c r="CD37" s="70">
        <f t="shared" si="183"/>
        <v>4276057.5391293401</v>
      </c>
      <c r="CE37" s="70">
        <f t="shared" si="184"/>
        <v>4276057.5391293401</v>
      </c>
      <c r="CF37" s="282">
        <f>SUM(CC37:CE37)</f>
        <v>12828172.617388021</v>
      </c>
      <c r="CG37" s="88"/>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1" t="s">
        <v>206</v>
      </c>
      <c r="B38" s="281">
        <v>2000</v>
      </c>
      <c r="C38" s="305">
        <v>5000</v>
      </c>
      <c r="D38" s="116"/>
      <c r="E38" s="119"/>
      <c r="F38" s="104">
        <f>SUM((IF(ISBLANK(D38),B38,D38)))</f>
        <v>2000</v>
      </c>
      <c r="G38" s="70">
        <f>SUM((IF(ISBLANK(D38),B38,D38)))</f>
        <v>2000</v>
      </c>
      <c r="H38" s="70">
        <f>SUM((IF(ISBLANK(D38),B38,D38)))</f>
        <v>2000</v>
      </c>
      <c r="I38" s="70">
        <f>SUM((IF(ISBLANK(D38),B38,D38)))</f>
        <v>2000</v>
      </c>
      <c r="J38" s="282">
        <f t="shared" si="146"/>
        <v>24000</v>
      </c>
      <c r="K38" s="70">
        <f>SUM((IF(ISBLANK(D38),B38,D38))+(IF(ISBLANK(E38),C38,E38)))</f>
        <v>7000</v>
      </c>
      <c r="L38" s="70">
        <f>SUM((IF(ISBLANK(D38),B38,D38))+(IF(ISBLANK(E38),C38,E38)))</f>
        <v>7000</v>
      </c>
      <c r="M38" s="70">
        <f>SUM((IF(ISBLANK(D38),B38,D38))+(IF(ISBLANK(E38),C38,E38)))</f>
        <v>7000</v>
      </c>
      <c r="N38" s="70">
        <f>SUM((IF(ISBLANK(D38),B38,D38))+(IF(ISBLANK(E38),C38,E38)))</f>
        <v>7000</v>
      </c>
      <c r="O38" s="282">
        <f t="shared" si="147"/>
        <v>84000</v>
      </c>
      <c r="P38" s="70">
        <f>SUM((IF(ISBLANK(D38),B38,D38))+(IF(ISBLANK(E38),C38,E38)))</f>
        <v>7000</v>
      </c>
      <c r="Q38" s="70">
        <f>SUM((IF(ISBLANK(D38),B38,D38))+(IF(ISBLANK(E38),C38,E38)))</f>
        <v>7000</v>
      </c>
      <c r="R38" s="70">
        <f>SUM((IF(ISBLANK(D38),B38,D38))+(IF(ISBLANK(E38),C38,E38)))</f>
        <v>7000</v>
      </c>
      <c r="S38" s="70">
        <f>SUM((IF(ISBLANK(D38),B38,D38))+(IF(ISBLANK(E38),C38,E38)))</f>
        <v>7000</v>
      </c>
      <c r="T38" s="305">
        <f t="shared" si="148"/>
        <v>84000</v>
      </c>
      <c r="U38" s="281">
        <f>SUM(S38*12)</f>
        <v>84000</v>
      </c>
      <c r="V38" s="282">
        <f>SUM(S38*12)</f>
        <v>84000</v>
      </c>
      <c r="W38" s="283">
        <f>SUM(S38*12)</f>
        <v>84000</v>
      </c>
      <c r="X38" s="177"/>
      <c r="Y38" s="505">
        <v>45000</v>
      </c>
      <c r="Z38" s="70">
        <f t="shared" si="149"/>
        <v>2000</v>
      </c>
      <c r="AA38" s="70">
        <f t="shared" si="150"/>
        <v>2000</v>
      </c>
      <c r="AB38" s="70">
        <f t="shared" si="151"/>
        <v>2000</v>
      </c>
      <c r="AC38" s="282">
        <f t="shared" si="134"/>
        <v>6000</v>
      </c>
      <c r="AD38" s="74"/>
      <c r="AE38" s="70">
        <f t="shared" si="152"/>
        <v>2000</v>
      </c>
      <c r="AF38" s="70">
        <f t="shared" si="153"/>
        <v>2000</v>
      </c>
      <c r="AG38" s="70">
        <f t="shared" si="154"/>
        <v>2000</v>
      </c>
      <c r="AH38" s="282">
        <f t="shared" si="135"/>
        <v>6000</v>
      </c>
      <c r="AI38" s="74"/>
      <c r="AJ38" s="70">
        <f t="shared" si="155"/>
        <v>2000</v>
      </c>
      <c r="AK38" s="70">
        <f t="shared" si="156"/>
        <v>2000</v>
      </c>
      <c r="AL38" s="70">
        <f t="shared" si="157"/>
        <v>2000</v>
      </c>
      <c r="AM38" s="282">
        <f t="shared" si="136"/>
        <v>6000</v>
      </c>
      <c r="AN38" s="74"/>
      <c r="AO38" s="70">
        <f t="shared" si="158"/>
        <v>2000</v>
      </c>
      <c r="AP38" s="70">
        <f t="shared" si="159"/>
        <v>2000</v>
      </c>
      <c r="AQ38" s="70">
        <f t="shared" si="160"/>
        <v>2000</v>
      </c>
      <c r="AR38" s="282">
        <f t="shared" si="137"/>
        <v>6000</v>
      </c>
      <c r="AS38" s="74"/>
      <c r="AT38" s="70">
        <f t="shared" si="161"/>
        <v>7000</v>
      </c>
      <c r="AU38" s="70">
        <f t="shared" si="162"/>
        <v>7000</v>
      </c>
      <c r="AV38" s="70">
        <f t="shared" si="163"/>
        <v>7000</v>
      </c>
      <c r="AW38" s="282">
        <f t="shared" si="138"/>
        <v>21000</v>
      </c>
      <c r="AX38" s="74"/>
      <c r="AY38" s="70">
        <f t="shared" si="164"/>
        <v>7000</v>
      </c>
      <c r="AZ38" s="70">
        <f t="shared" si="165"/>
        <v>7000</v>
      </c>
      <c r="BA38" s="70">
        <f t="shared" si="166"/>
        <v>7000</v>
      </c>
      <c r="BB38" s="282">
        <f t="shared" si="139"/>
        <v>21000</v>
      </c>
      <c r="BC38" s="74"/>
      <c r="BD38" s="70">
        <f t="shared" si="167"/>
        <v>7000</v>
      </c>
      <c r="BE38" s="70">
        <f t="shared" si="168"/>
        <v>7000</v>
      </c>
      <c r="BF38" s="70">
        <f t="shared" si="169"/>
        <v>7000</v>
      </c>
      <c r="BG38" s="282">
        <f t="shared" si="140"/>
        <v>21000</v>
      </c>
      <c r="BH38" s="74"/>
      <c r="BI38" s="70">
        <f t="shared" si="170"/>
        <v>7000</v>
      </c>
      <c r="BJ38" s="70">
        <f t="shared" si="171"/>
        <v>7000</v>
      </c>
      <c r="BK38" s="70">
        <f t="shared" si="172"/>
        <v>7000</v>
      </c>
      <c r="BL38" s="282">
        <f t="shared" si="141"/>
        <v>21000</v>
      </c>
      <c r="BM38" s="74"/>
      <c r="BN38" s="70">
        <f t="shared" si="173"/>
        <v>7000</v>
      </c>
      <c r="BO38" s="70">
        <f t="shared" si="174"/>
        <v>7000</v>
      </c>
      <c r="BP38" s="70">
        <f t="shared" si="175"/>
        <v>7000</v>
      </c>
      <c r="BQ38" s="282">
        <f t="shared" si="142"/>
        <v>21000</v>
      </c>
      <c r="BR38" s="74"/>
      <c r="BS38" s="70">
        <f t="shared" si="176"/>
        <v>7000</v>
      </c>
      <c r="BT38" s="70">
        <f t="shared" si="177"/>
        <v>7000</v>
      </c>
      <c r="BU38" s="70">
        <f t="shared" si="178"/>
        <v>7000</v>
      </c>
      <c r="BV38" s="282">
        <f t="shared" si="143"/>
        <v>21000</v>
      </c>
      <c r="BW38" s="74"/>
      <c r="BX38" s="70">
        <f t="shared" si="179"/>
        <v>7000</v>
      </c>
      <c r="BY38" s="70">
        <f t="shared" si="180"/>
        <v>7000</v>
      </c>
      <c r="BZ38" s="70">
        <f t="shared" si="181"/>
        <v>7000</v>
      </c>
      <c r="CA38" s="282">
        <f t="shared" si="144"/>
        <v>21000</v>
      </c>
      <c r="CB38" s="74"/>
      <c r="CC38" s="70">
        <f t="shared" si="182"/>
        <v>7000</v>
      </c>
      <c r="CD38" s="70">
        <f t="shared" si="183"/>
        <v>7000</v>
      </c>
      <c r="CE38" s="70">
        <f t="shared" si="184"/>
        <v>7000</v>
      </c>
      <c r="CF38" s="282">
        <f t="shared" si="145"/>
        <v>21000</v>
      </c>
      <c r="CG38" s="88"/>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1" t="s">
        <v>271</v>
      </c>
      <c r="B39" s="260">
        <v>0.2</v>
      </c>
      <c r="C39" s="293">
        <v>0</v>
      </c>
      <c r="D39" s="118"/>
      <c r="E39" s="117"/>
      <c r="F39" s="130">
        <v>0</v>
      </c>
      <c r="G39" s="70">
        <f>IF(IF(F30&gt;0,F30*((0*(IF(ISBLANK(E39),C39,E39)))+(IF(ISBLANK(D39),B39,D39))),0)&lt;0,0,IF(F30&gt;0,F30*((0*(IF(ISBLANK(E39),C39,E39)))+(IF(ISBLANK(D39),B39,D39))),0))/3</f>
        <v>0</v>
      </c>
      <c r="H39" s="70">
        <f>IF(IF(G30&gt;0,G30*((0*(IF(ISBLANK(E39),C39,E39)))+(IF(ISBLANK(D39),B39,D39))),0)&lt;0,0,IF(G30&gt;0,G30*((0*(IF(ISBLANK(E39),C39,E39)))+(IF(ISBLANK(D39),B39,D39))),0))/3</f>
        <v>0</v>
      </c>
      <c r="I39" s="70">
        <f>IF(IF(H30&gt;0,H30*((1*(IF(ISBLANK(E39),C39,E39)))+(IF(ISBLANK(D39),B39,D39))),0)&lt;0,0,IF(H30&gt;0,H30*((1*(IF(ISBLANK(E39),C39,E39)))+(IF(ISBLANK(D39),B39,D39))),0))/3</f>
        <v>2464.4699551533313</v>
      </c>
      <c r="J39" s="282">
        <f t="shared" si="146"/>
        <v>7393.4098654599939</v>
      </c>
      <c r="K39" s="70">
        <f>IF(IF(I30&gt;0,I30*((2*(IF(ISBLANK(E39),C39,E39)))+(IF(ISBLANK(D39),B39,D39))),0)&lt;0,0,IF(I30&gt;0,I30*((2*(IF(ISBLANK(E39),C39,E39)))+(IF(ISBLANK(D39),B39,D39))),0))/3</f>
        <v>13681.439659437056</v>
      </c>
      <c r="L39" s="70">
        <f>IF(IF(K30&gt;0,K30*((3*(IF(ISBLANK(E39),C39,E39)))+(IF(ISBLANK(D39),B39,D39))),0)&lt;0,0,IF(K30&gt;0,K30*((3*(IF(ISBLANK(E39),C39,E39)))+(IF(ISBLANK(D39),B39,D39))),0))/3</f>
        <v>44021.52034043998</v>
      </c>
      <c r="M39" s="70">
        <f>IF(IF(L30&gt;0,L30*((4*(IF(ISBLANK(E39),C39,E39)))+(IF(ISBLANK(D39),B39,D39))),0)&lt;0,0,IF(L30&gt;0,L30*((4*(IF(ISBLANK(E39),C39,E39)))+(IF(ISBLANK(D39),B39,D39))),0))/3</f>
        <v>117553.00283982848</v>
      </c>
      <c r="N39" s="70">
        <f>IF(IF(M30&gt;0,M30*((5*(IF(ISBLANK(E39),C39,E39)))+(IF(ISBLANK(D39),B39,D39))),0)&lt;0,0,IF(M30&gt;0,M30*((5*(IF(ISBLANK(E39),C39,E39)))+(IF(ISBLANK(D39),B39,D39))),0))/3</f>
        <v>288507.57402776903</v>
      </c>
      <c r="O39" s="282">
        <f t="shared" si="147"/>
        <v>1391290.6106024235</v>
      </c>
      <c r="P39" s="70">
        <f>IF(IF(N30&gt;0,N30*((6*(IF(ISBLANK(E39),C39,E39)))+(IF(ISBLANK(D39),B39,D39))),0)&lt;0,0,IF(N30&gt;0,N30*((6*(IF(ISBLANK(E39),C39,E39)))+(IF(ISBLANK(D39),B39,D39))),0))/3</f>
        <v>678840.01161576365</v>
      </c>
      <c r="Q39" s="70">
        <f>IF(IF(P30&gt;0,P30*((7*(IF(ISBLANK(E39),C39,E39)))+(IF(ISBLANK(D39),B39,D39))),0)&lt;0,0,IF(P30&gt;0,P30*((7*(IF(ISBLANK(E39),C39,E39)))+(IF(ISBLANK(D39),B39,D39))),0))/3</f>
        <v>1629893.1430526711</v>
      </c>
      <c r="R39" s="70">
        <f>IF(IF(Q30&gt;0,Q30*((8*(IF(ISBLANK(E39),C39,E39)))+(IF(ISBLANK(D39),B39,D39))),0)&lt;0,0,IF(Q30&gt;0,Q30*((8*(IF(ISBLANK(E39),C39,E39)))+(IF(ISBLANK(D39),B39,D39))),0))/3</f>
        <v>3742400.5570922033</v>
      </c>
      <c r="S39" s="70">
        <f>IF(IF(R30&gt;0,R30*((9*(IF(ISBLANK(E39),C39,E39)))+(IF(ISBLANK(D39),B39,D39))),0)&lt;0,0,IF(R30&gt;0,R30*((9*(IF(ISBLANK(E39),C39,E39)))+(IF(ISBLANK(D39),B39,D39))),0))/3</f>
        <v>8602081.8134154584</v>
      </c>
      <c r="T39" s="305">
        <f t="shared" si="148"/>
        <v>43959646.575528286</v>
      </c>
      <c r="U39" s="281">
        <f>SUM((U30*(IF(ISBLANK(D39),B39,D39)+(10*IF(ISBLANK(E39),C39,E39))))+(S30*(IF(ISBLANK(D39),B39,D39)+(10*IF(ISBLANK(E39),C39,E39)))))</f>
        <v>777579504.0794512</v>
      </c>
      <c r="V39" s="282">
        <f>SUM((V30*(IF(ISBLANK(D39),B39,D39)+(11*IF(ISBLANK(E39),C39,E39)))))</f>
        <v>2216704978.0344501</v>
      </c>
      <c r="W39" s="283">
        <f>SUM((W30*(IF(ISBLANK(D39),B39,D39)+(12*IF(ISBLANK(E39),C39,E39)))))</f>
        <v>5126011899.6815596</v>
      </c>
      <c r="X39" s="177"/>
      <c r="Y39" s="505">
        <v>0</v>
      </c>
      <c r="Z39" s="70">
        <f>F39</f>
        <v>0</v>
      </c>
      <c r="AA39" s="70">
        <f>F39</f>
        <v>0</v>
      </c>
      <c r="AB39" s="70">
        <f>F39</f>
        <v>0</v>
      </c>
      <c r="AC39" s="282">
        <f t="shared" si="134"/>
        <v>0</v>
      </c>
      <c r="AD39" s="74"/>
      <c r="AE39" s="70">
        <f>G39</f>
        <v>0</v>
      </c>
      <c r="AF39" s="70">
        <f>G39</f>
        <v>0</v>
      </c>
      <c r="AG39" s="70">
        <f>G39</f>
        <v>0</v>
      </c>
      <c r="AH39" s="282">
        <f t="shared" si="135"/>
        <v>0</v>
      </c>
      <c r="AI39" s="74"/>
      <c r="AJ39" s="70">
        <f>H39</f>
        <v>0</v>
      </c>
      <c r="AK39" s="70">
        <f>H39</f>
        <v>0</v>
      </c>
      <c r="AL39" s="70">
        <f>H39</f>
        <v>0</v>
      </c>
      <c r="AM39" s="282">
        <f t="shared" si="136"/>
        <v>0</v>
      </c>
      <c r="AN39" s="74"/>
      <c r="AO39" s="70">
        <f>I39</f>
        <v>2464.4699551533313</v>
      </c>
      <c r="AP39" s="70">
        <f>I39</f>
        <v>2464.4699551533313</v>
      </c>
      <c r="AQ39" s="70">
        <f>I39</f>
        <v>2464.4699551533313</v>
      </c>
      <c r="AR39" s="282">
        <f t="shared" si="137"/>
        <v>7393.4098654599939</v>
      </c>
      <c r="AS39" s="74"/>
      <c r="AT39" s="70">
        <f>K39</f>
        <v>13681.439659437056</v>
      </c>
      <c r="AU39" s="70">
        <f>K39</f>
        <v>13681.439659437056</v>
      </c>
      <c r="AV39" s="70">
        <f>K39</f>
        <v>13681.439659437056</v>
      </c>
      <c r="AW39" s="282">
        <f t="shared" si="138"/>
        <v>41044.318978311167</v>
      </c>
      <c r="AX39" s="74"/>
      <c r="AY39" s="70">
        <f>L39</f>
        <v>44021.52034043998</v>
      </c>
      <c r="AZ39" s="70">
        <f>L39</f>
        <v>44021.52034043998</v>
      </c>
      <c r="BA39" s="70">
        <f>L39</f>
        <v>44021.52034043998</v>
      </c>
      <c r="BB39" s="282">
        <f t="shared" si="139"/>
        <v>132064.56102131994</v>
      </c>
      <c r="BC39" s="74"/>
      <c r="BD39" s="70">
        <f>M39</f>
        <v>117553.00283982848</v>
      </c>
      <c r="BE39" s="70">
        <f>M39</f>
        <v>117553.00283982848</v>
      </c>
      <c r="BF39" s="70">
        <f>M39</f>
        <v>117553.00283982848</v>
      </c>
      <c r="BG39" s="282">
        <f t="shared" si="140"/>
        <v>352659.00851948542</v>
      </c>
      <c r="BH39" s="74"/>
      <c r="BI39" s="70">
        <f>N39</f>
        <v>288507.57402776903</v>
      </c>
      <c r="BJ39" s="70">
        <f>N39</f>
        <v>288507.57402776903</v>
      </c>
      <c r="BK39" s="70">
        <f>N39</f>
        <v>288507.57402776903</v>
      </c>
      <c r="BL39" s="282">
        <f t="shared" si="141"/>
        <v>865522.7220833071</v>
      </c>
      <c r="BM39" s="74"/>
      <c r="BN39" s="70">
        <f>P39</f>
        <v>678840.01161576365</v>
      </c>
      <c r="BO39" s="70">
        <f>P39</f>
        <v>678840.01161576365</v>
      </c>
      <c r="BP39" s="70">
        <f>P39</f>
        <v>678840.01161576365</v>
      </c>
      <c r="BQ39" s="282">
        <f t="shared" si="142"/>
        <v>2036520.034847291</v>
      </c>
      <c r="BR39" s="74"/>
      <c r="BS39" s="70">
        <f>Q39</f>
        <v>1629893.1430526711</v>
      </c>
      <c r="BT39" s="70">
        <f>Q39</f>
        <v>1629893.1430526711</v>
      </c>
      <c r="BU39" s="70">
        <f>Q39</f>
        <v>1629893.1430526711</v>
      </c>
      <c r="BV39" s="282">
        <f t="shared" si="143"/>
        <v>4889679.4291580133</v>
      </c>
      <c r="BW39" s="74"/>
      <c r="BX39" s="70">
        <f>R39</f>
        <v>3742400.5570922033</v>
      </c>
      <c r="BY39" s="70">
        <f>R39</f>
        <v>3742400.5570922033</v>
      </c>
      <c r="BZ39" s="70">
        <f>R39</f>
        <v>3742400.5570922033</v>
      </c>
      <c r="CA39" s="282">
        <f t="shared" si="144"/>
        <v>11227201.67127661</v>
      </c>
      <c r="CB39" s="74"/>
      <c r="CC39" s="70">
        <f>S39</f>
        <v>8602081.8134154584</v>
      </c>
      <c r="CD39" s="70">
        <f>S39</f>
        <v>8602081.8134154584</v>
      </c>
      <c r="CE39" s="70">
        <f>S39</f>
        <v>8602081.8134154584</v>
      </c>
      <c r="CF39" s="282">
        <f t="shared" si="145"/>
        <v>25806245.440246373</v>
      </c>
      <c r="CG39" s="88"/>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1" t="s">
        <v>272</v>
      </c>
      <c r="B40" s="260">
        <v>0.25</v>
      </c>
      <c r="C40" s="293">
        <v>0</v>
      </c>
      <c r="D40" s="118"/>
      <c r="E40" s="117"/>
      <c r="F40" s="130">
        <v>0</v>
      </c>
      <c r="G40" s="70">
        <f>IF(IF(F49&gt;0,F49*((0*(IF(ISBLANK(E40),C40,E40)))+(IF(ISBLANK(D40),B40,D40))),0)&lt;0,0,IF(F49&gt;0,F49*((0*(IF(ISBLANK(E40),C40,E40)))+(IF(ISBLANK(D40),B40,D40))),0))/3</f>
        <v>0</v>
      </c>
      <c r="H40" s="70">
        <f>IF(IF(G49&gt;0,G49*((0*(IF(ISBLANK(E40),C40,E40)))+(IF(ISBLANK(D40),B40,D40))),0)&lt;0,0,IF(G49&gt;0,G49*((0*(IF(ISBLANK(E40),C40,E40)))+(IF(ISBLANK(D40),B40,D40))),0))/3</f>
        <v>0</v>
      </c>
      <c r="I40" s="70">
        <f>IF(IF(H49&gt;0,H49*((1*(IF(ISBLANK(E40),C40,E40)))+(IF(ISBLANK(D40),B40,D40))),0)&lt;0,0,IF(H49&gt;0,H49*((1*(IF(ISBLANK(E40),C40,E40)))+(IF(ISBLANK(D40),B40,D40))),0))/3</f>
        <v>0</v>
      </c>
      <c r="J40" s="282">
        <f t="shared" si="146"/>
        <v>0</v>
      </c>
      <c r="K40" s="70">
        <f>IF(IF(I49&gt;0,I49*((2*(IF(ISBLANK(E40),C40,E40)))+(IF(ISBLANK(D40),B40,D40))),0)&lt;0,0,IF(I49&gt;0,I49*((2*(IF(ISBLANK(E40),C40,E40)))+(IF(ISBLANK(D40),B40,D40))),0))/3</f>
        <v>0</v>
      </c>
      <c r="L40" s="70">
        <f>IF(IF(K49&gt;0,K49*((3*(IF(ISBLANK(E40),C40,E40)))+(IF(ISBLANK(D40),B40,D40))),0)&lt;0,0,IF(K49&gt;0,K49*((3*(IF(ISBLANK(E40),C40,E40)))+(IF(ISBLANK(D40),B40,D40))),0))/3</f>
        <v>3855.6293697882697</v>
      </c>
      <c r="M40" s="70">
        <f>IF(IF(L49&gt;0,L49*((4*(IF(ISBLANK(E40),C40,E40)))+(IF(ISBLANK(D40),B40,D40))),0)&lt;0,0,IF(L49&gt;0,L49*((4*(IF(ISBLANK(E40),C40,E40)))+(IF(ISBLANK(D40),B40,D40))),0))/3</f>
        <v>30066.226789762266</v>
      </c>
      <c r="N40" s="70">
        <f>IF(IF(M49&gt;0,M49*((5*(IF(ISBLANK(E40),C40,E40)))+(IF(ISBLANK(D40),B40,D40))),0)&lt;0,0,IF(M49&gt;0,M49*((5*(IF(ISBLANK(E40),C40,E40)))+(IF(ISBLANK(D40),B40,D40))),0))/3</f>
        <v>90797.273549295656</v>
      </c>
      <c r="O40" s="282">
        <f t="shared" si="147"/>
        <v>374157.38912653853</v>
      </c>
      <c r="P40" s="70">
        <f>IF(IF(N49&gt;0,N49*((6*(IF(ISBLANK(E40),C40,E40)))+(IF(ISBLANK(D40),B40,D40))),0)&lt;0,0,IF(N49&gt;0,N49*((6*(IF(ISBLANK(E40),C40,E40)))+(IF(ISBLANK(D40),B40,D40))),0))/3</f>
        <v>251109.58719581109</v>
      </c>
      <c r="Q40" s="70">
        <f>IF(IF(P49&gt;0,P49*((7*(IF(ISBLANK(E40),C40,E40)))+(IF(ISBLANK(D40),B40,D40))),0)&lt;0,0,IF(P49&gt;0,P49*((7*(IF(ISBLANK(E40),C40,E40)))+(IF(ISBLANK(D40),B40,D40))),0))/3</f>
        <v>734628.06424387579</v>
      </c>
      <c r="R40" s="70">
        <f>IF(IF(Q49&gt;0,Q49*((8*(IF(ISBLANK(E40),C40,E40)))+(IF(ISBLANK(D40),B40,D40))),0)&lt;0,0,IF(Q49&gt;0,Q49*((8*(IF(ISBLANK(E40),C40,E40)))+(IF(ISBLANK(D40),B40,D40))),0))/3</f>
        <v>1846709.2534741287</v>
      </c>
      <c r="S40" s="70">
        <f>IF(IF(R49&gt;0,R49*((9*(IF(ISBLANK(E40),C40,E40)))+(IF(ISBLANK(D40),B40,D40))),0)&lt;0,0,IF(R49&gt;0,R49*((9*(IF(ISBLANK(E40),C40,E40)))+(IF(ISBLANK(D40),B40,D40))),0))/3</f>
        <v>4793056.0252891816</v>
      </c>
      <c r="T40" s="305">
        <f t="shared" si="148"/>
        <v>22876508.790608991</v>
      </c>
      <c r="U40" s="281">
        <f>SUM(IF(S49&lt;0,0,S49*((10*(IF(ISBLANK(E40),C40,E40)))+(IF(ISBLANK(D40),B40,D40)))))</f>
        <v>39322116.582044624</v>
      </c>
      <c r="V40" s="282">
        <f>SUM(IF(U49&lt;0,0,U49*((11*(IF(ISBLANK(E40),C40,E40)))+(IF(ISBLANK(D40),B40,D40)))))</f>
        <v>366098208.43730623</v>
      </c>
      <c r="W40" s="283">
        <f>SUM(IF(V49&lt;0,0,V49*((12*(IF(ISBLANK(E40),C40,E40)))+(IF(ISBLANK(D40),B40,D40)))))</f>
        <v>1590775890.3100727</v>
      </c>
      <c r="X40" s="177"/>
      <c r="Y40" s="505">
        <v>0</v>
      </c>
      <c r="Z40" s="70">
        <f>F40</f>
        <v>0</v>
      </c>
      <c r="AA40" s="70">
        <f>F40</f>
        <v>0</v>
      </c>
      <c r="AB40" s="70">
        <f>F40</f>
        <v>0</v>
      </c>
      <c r="AC40" s="282">
        <f t="shared" si="134"/>
        <v>0</v>
      </c>
      <c r="AD40" s="74"/>
      <c r="AE40" s="70">
        <f>G40</f>
        <v>0</v>
      </c>
      <c r="AF40" s="70">
        <f>G40</f>
        <v>0</v>
      </c>
      <c r="AG40" s="70">
        <f>G40</f>
        <v>0</v>
      </c>
      <c r="AH40" s="282">
        <f t="shared" si="135"/>
        <v>0</v>
      </c>
      <c r="AI40" s="74"/>
      <c r="AJ40" s="70">
        <f>H40</f>
        <v>0</v>
      </c>
      <c r="AK40" s="70">
        <f>H40</f>
        <v>0</v>
      </c>
      <c r="AL40" s="70">
        <f>H40</f>
        <v>0</v>
      </c>
      <c r="AM40" s="282">
        <f t="shared" si="136"/>
        <v>0</v>
      </c>
      <c r="AN40" s="74"/>
      <c r="AO40" s="70">
        <f>I40</f>
        <v>0</v>
      </c>
      <c r="AP40" s="70">
        <f>I40</f>
        <v>0</v>
      </c>
      <c r="AQ40" s="70">
        <f>I40</f>
        <v>0</v>
      </c>
      <c r="AR40" s="282">
        <f t="shared" si="137"/>
        <v>0</v>
      </c>
      <c r="AS40" s="74"/>
      <c r="AT40" s="70">
        <f>K40</f>
        <v>0</v>
      </c>
      <c r="AU40" s="70">
        <f>K40</f>
        <v>0</v>
      </c>
      <c r="AV40" s="70">
        <f>K40</f>
        <v>0</v>
      </c>
      <c r="AW40" s="282">
        <f t="shared" si="138"/>
        <v>0</v>
      </c>
      <c r="AX40" s="74"/>
      <c r="AY40" s="70">
        <f>L40</f>
        <v>3855.6293697882697</v>
      </c>
      <c r="AZ40" s="70">
        <f>L40</f>
        <v>3855.6293697882697</v>
      </c>
      <c r="BA40" s="70">
        <f>L40</f>
        <v>3855.6293697882697</v>
      </c>
      <c r="BB40" s="282">
        <f t="shared" si="139"/>
        <v>11566.888109364809</v>
      </c>
      <c r="BC40" s="74"/>
      <c r="BD40" s="70">
        <f>M40</f>
        <v>30066.226789762266</v>
      </c>
      <c r="BE40" s="70">
        <f>M40</f>
        <v>30066.226789762266</v>
      </c>
      <c r="BF40" s="70">
        <f>M40</f>
        <v>30066.226789762266</v>
      </c>
      <c r="BG40" s="282">
        <f t="shared" si="140"/>
        <v>90198.680369286798</v>
      </c>
      <c r="BH40" s="74"/>
      <c r="BI40" s="70">
        <f>N40</f>
        <v>90797.273549295656</v>
      </c>
      <c r="BJ40" s="70">
        <f>N40</f>
        <v>90797.273549295656</v>
      </c>
      <c r="BK40" s="70">
        <f>N40</f>
        <v>90797.273549295656</v>
      </c>
      <c r="BL40" s="282">
        <f t="shared" si="141"/>
        <v>272391.82064788695</v>
      </c>
      <c r="BM40" s="74"/>
      <c r="BN40" s="70">
        <f>P40</f>
        <v>251109.58719581109</v>
      </c>
      <c r="BO40" s="70">
        <f>P40</f>
        <v>251109.58719581109</v>
      </c>
      <c r="BP40" s="70">
        <f>P40</f>
        <v>251109.58719581109</v>
      </c>
      <c r="BQ40" s="282">
        <f t="shared" si="142"/>
        <v>753328.76158743328</v>
      </c>
      <c r="BR40" s="74"/>
      <c r="BS40" s="70">
        <f>Q40</f>
        <v>734628.06424387579</v>
      </c>
      <c r="BT40" s="70">
        <f>Q40</f>
        <v>734628.06424387579</v>
      </c>
      <c r="BU40" s="70">
        <f>Q40</f>
        <v>734628.06424387579</v>
      </c>
      <c r="BV40" s="282">
        <f t="shared" si="143"/>
        <v>2203884.1927316273</v>
      </c>
      <c r="BW40" s="74"/>
      <c r="BX40" s="70">
        <f>R40</f>
        <v>1846709.2534741287</v>
      </c>
      <c r="BY40" s="70">
        <f>R40</f>
        <v>1846709.2534741287</v>
      </c>
      <c r="BZ40" s="70">
        <f>R40</f>
        <v>1846709.2534741287</v>
      </c>
      <c r="CA40" s="282">
        <f t="shared" si="144"/>
        <v>5540127.7604223862</v>
      </c>
      <c r="CB40" s="74"/>
      <c r="CC40" s="70">
        <f>S40</f>
        <v>4793056.0252891816</v>
      </c>
      <c r="CD40" s="70">
        <f>S40</f>
        <v>4793056.0252891816</v>
      </c>
      <c r="CE40" s="70">
        <f>S40</f>
        <v>4793056.0252891816</v>
      </c>
      <c r="CF40" s="282">
        <f t="shared" si="145"/>
        <v>14379168.075867545</v>
      </c>
      <c r="CG40" s="88"/>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1" t="s">
        <v>273</v>
      </c>
      <c r="B41" s="281">
        <v>2500</v>
      </c>
      <c r="C41" s="481">
        <v>2000</v>
      </c>
      <c r="D41" s="116"/>
      <c r="E41" s="119"/>
      <c r="F41" s="104">
        <f>IF(ISBLANK(D41),B41,D41)</f>
        <v>2500</v>
      </c>
      <c r="G41" s="70">
        <f>SUM((IF(F49&gt;0,IF(ISBLANK(E41),C41,E41),0)+F41))</f>
        <v>2500</v>
      </c>
      <c r="H41" s="70">
        <f>SUM((IF(G49&gt;0,IF(ISBLANK(E41),C41,E41),0)+G41))</f>
        <v>2500</v>
      </c>
      <c r="I41" s="70">
        <f>SUM((IF(H49&gt;0,IF(ISBLANK(E41),C41,E41),0)+H41))</f>
        <v>2500</v>
      </c>
      <c r="J41" s="282">
        <f t="shared" si="146"/>
        <v>30000</v>
      </c>
      <c r="K41" s="70">
        <f>SUM((IF(I49&gt;0,IF(ISBLANK(E41),C41,E41),0)+I41))</f>
        <v>2500</v>
      </c>
      <c r="L41" s="70">
        <f>SUM((IF(K49&gt;0,IF(ISBLANK(E41),C41,E41),0)+K41))</f>
        <v>4500</v>
      </c>
      <c r="M41" s="70">
        <f>SUM((IF(L49&gt;0,IF(ISBLANK(E41),C41,E41),0)+L41))</f>
        <v>6500</v>
      </c>
      <c r="N41" s="70">
        <f>SUM((IF(M49&gt;0,IF(ISBLANK(E41),C41,E41),0)+M41))</f>
        <v>8500</v>
      </c>
      <c r="O41" s="282">
        <f t="shared" si="147"/>
        <v>66000</v>
      </c>
      <c r="P41" s="70">
        <f>SUM((IF(N49&gt;0,IF(ISBLANK(E41),C41,E41),0)+N41))</f>
        <v>10500</v>
      </c>
      <c r="Q41" s="70">
        <f>SUM((IF(P49&gt;0,IF(ISBLANK(E41),C41,E41),0)+P41))</f>
        <v>12500</v>
      </c>
      <c r="R41" s="70">
        <f>SUM((IF(Q49&gt;0,IF(ISBLANK(E41),C41,E41),0)+Q41))</f>
        <v>14500</v>
      </c>
      <c r="S41" s="70">
        <f>SUM((IF(R49&gt;0,IF(ISBLANK(E41),C41,E41),0)+R41))</f>
        <v>16500</v>
      </c>
      <c r="T41" s="305">
        <f t="shared" si="148"/>
        <v>162000</v>
      </c>
      <c r="U41" s="281">
        <f>SUM((IF(S49&gt;0,IF(ISBLANK(E41),C41,E41),0)+S41))</f>
        <v>18500</v>
      </c>
      <c r="V41" s="282">
        <f>SUM((IF(U49&gt;0,IF(ISBLANK(E41),C41,E41),0)+U41))</f>
        <v>20500</v>
      </c>
      <c r="W41" s="283">
        <f>SUM((IF(V49&gt;0,IF(ISBLANK(E41),C41,E41),0)+V41))</f>
        <v>22500</v>
      </c>
      <c r="X41" s="177"/>
      <c r="Y41" s="505">
        <v>55000</v>
      </c>
      <c r="Z41" s="70">
        <f t="shared" si="149"/>
        <v>2500</v>
      </c>
      <c r="AA41" s="70">
        <f t="shared" si="150"/>
        <v>2500</v>
      </c>
      <c r="AB41" s="70">
        <f t="shared" si="151"/>
        <v>2500</v>
      </c>
      <c r="AC41" s="282">
        <f t="shared" si="134"/>
        <v>7500</v>
      </c>
      <c r="AD41" s="74"/>
      <c r="AE41" s="70">
        <f t="shared" si="152"/>
        <v>2500</v>
      </c>
      <c r="AF41" s="70">
        <f>G41</f>
        <v>2500</v>
      </c>
      <c r="AG41" s="70">
        <f>G41</f>
        <v>2500</v>
      </c>
      <c r="AH41" s="282">
        <f t="shared" si="135"/>
        <v>7500</v>
      </c>
      <c r="AI41" s="74"/>
      <c r="AJ41" s="70">
        <f>H41</f>
        <v>2500</v>
      </c>
      <c r="AK41" s="70">
        <f>H41</f>
        <v>2500</v>
      </c>
      <c r="AL41" s="70">
        <f>H41</f>
        <v>2500</v>
      </c>
      <c r="AM41" s="282">
        <f t="shared" si="136"/>
        <v>7500</v>
      </c>
      <c r="AN41" s="74"/>
      <c r="AO41" s="70">
        <f t="shared" si="158"/>
        <v>2500</v>
      </c>
      <c r="AP41" s="70">
        <f t="shared" si="159"/>
        <v>2500</v>
      </c>
      <c r="AQ41" s="70">
        <f t="shared" si="160"/>
        <v>2500</v>
      </c>
      <c r="AR41" s="282">
        <f t="shared" si="137"/>
        <v>7500</v>
      </c>
      <c r="AS41" s="74"/>
      <c r="AT41" s="70">
        <f t="shared" si="161"/>
        <v>2500</v>
      </c>
      <c r="AU41" s="70">
        <f t="shared" si="162"/>
        <v>2500</v>
      </c>
      <c r="AV41" s="70">
        <f t="shared" si="163"/>
        <v>2500</v>
      </c>
      <c r="AW41" s="282">
        <f t="shared" si="138"/>
        <v>7500</v>
      </c>
      <c r="AX41" s="74"/>
      <c r="AY41" s="70">
        <f t="shared" si="164"/>
        <v>4500</v>
      </c>
      <c r="AZ41" s="70">
        <f t="shared" si="165"/>
        <v>4500</v>
      </c>
      <c r="BA41" s="70">
        <f t="shared" si="166"/>
        <v>4500</v>
      </c>
      <c r="BB41" s="282">
        <f t="shared" si="139"/>
        <v>13500</v>
      </c>
      <c r="BC41" s="74"/>
      <c r="BD41" s="70">
        <f t="shared" si="167"/>
        <v>6500</v>
      </c>
      <c r="BE41" s="70">
        <f t="shared" si="168"/>
        <v>6500</v>
      </c>
      <c r="BF41" s="70">
        <f t="shared" si="169"/>
        <v>6500</v>
      </c>
      <c r="BG41" s="282">
        <f t="shared" si="140"/>
        <v>19500</v>
      </c>
      <c r="BH41" s="74"/>
      <c r="BI41" s="70">
        <f>N41</f>
        <v>8500</v>
      </c>
      <c r="BJ41" s="70">
        <f t="shared" si="171"/>
        <v>8500</v>
      </c>
      <c r="BK41" s="70">
        <f t="shared" si="172"/>
        <v>8500</v>
      </c>
      <c r="BL41" s="282">
        <f t="shared" si="141"/>
        <v>25500</v>
      </c>
      <c r="BM41" s="74"/>
      <c r="BN41" s="70">
        <f t="shared" si="173"/>
        <v>10500</v>
      </c>
      <c r="BO41" s="70">
        <f t="shared" si="174"/>
        <v>10500</v>
      </c>
      <c r="BP41" s="70">
        <f t="shared" si="175"/>
        <v>10500</v>
      </c>
      <c r="BQ41" s="282">
        <f t="shared" si="142"/>
        <v>31500</v>
      </c>
      <c r="BR41" s="74"/>
      <c r="BS41" s="70">
        <f t="shared" si="176"/>
        <v>12500</v>
      </c>
      <c r="BT41" s="70">
        <f t="shared" si="177"/>
        <v>12500</v>
      </c>
      <c r="BU41" s="70">
        <f t="shared" si="178"/>
        <v>12500</v>
      </c>
      <c r="BV41" s="282">
        <f t="shared" si="143"/>
        <v>37500</v>
      </c>
      <c r="BW41" s="74"/>
      <c r="BX41" s="70">
        <f t="shared" si="179"/>
        <v>14500</v>
      </c>
      <c r="BY41" s="70">
        <f t="shared" si="180"/>
        <v>14500</v>
      </c>
      <c r="BZ41" s="70">
        <f t="shared" si="181"/>
        <v>14500</v>
      </c>
      <c r="CA41" s="282">
        <f t="shared" si="144"/>
        <v>43500</v>
      </c>
      <c r="CB41" s="74"/>
      <c r="CC41" s="70">
        <f t="shared" si="182"/>
        <v>16500</v>
      </c>
      <c r="CD41" s="70">
        <f t="shared" si="183"/>
        <v>16500</v>
      </c>
      <c r="CE41" s="70">
        <f t="shared" si="184"/>
        <v>16500</v>
      </c>
      <c r="CF41" s="282">
        <f t="shared" si="145"/>
        <v>49500</v>
      </c>
      <c r="CG41" s="88"/>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1" t="s">
        <v>274</v>
      </c>
      <c r="B42" s="281">
        <v>2000</v>
      </c>
      <c r="C42" s="304">
        <v>0.01</v>
      </c>
      <c r="D42" s="116"/>
      <c r="E42" s="120"/>
      <c r="F42" s="104">
        <f>SUM((IF(ISBLANK(D42),B42,D42))+(IF(ISBLANK(E42),C42,E42)*F18))</f>
        <v>2021.4521407384641</v>
      </c>
      <c r="G42" s="70">
        <f>SUM((IF(ISBLANK(D42),B42,D42))+(IF(ISBLANK(E42),C42,E42)*G18))</f>
        <v>2051.1901415290749</v>
      </c>
      <c r="H42" s="70">
        <f>SUM((IF(ISBLANK(D42),B42,D42))+(IF(ISBLANK(E42),C42,E42)*H18))</f>
        <v>2362.4302203705588</v>
      </c>
      <c r="I42" s="70">
        <f>SUM((IF(ISBLANK(D42),B42,D42))+(IF(ISBLANK(E42),C42,E42)*I18))</f>
        <v>2942.5171786550927</v>
      </c>
      <c r="J42" s="282">
        <f t="shared" si="146"/>
        <v>28132.769043879569</v>
      </c>
      <c r="K42" s="70">
        <f>SUM((IF(ISBLANK(D42),B42,D42))+(IF(ISBLANK(E42),C42,E42)*K18))</f>
        <v>4051.3563432185001</v>
      </c>
      <c r="L42" s="70">
        <f>SUM((IF(ISBLANK(D42),B42,D42))+(IF(ISBLANK(E42),C42,E42)*L18))</f>
        <v>6207.6772869483711</v>
      </c>
      <c r="M42" s="70">
        <f>SUM((IF(ISBLANK(D42),B42,D42))+(IF(ISBLANK(E42),C42,E42)*M18))</f>
        <v>10395.613068835877</v>
      </c>
      <c r="N42" s="70">
        <f>SUM((IF(ISBLANK(D42),B42,D42))+(IF(ISBLANK(E42),C42,E42)*N18))</f>
        <v>18692.750460331801</v>
      </c>
      <c r="O42" s="282">
        <f t="shared" si="147"/>
        <v>118042.19147800366</v>
      </c>
      <c r="P42" s="70">
        <f>SUM((IF(ISBLANK(D42),B42,D42))+(IF(ISBLANK(E42),C42,E42)*P18))</f>
        <v>35202.484107394412</v>
      </c>
      <c r="Q42" s="70">
        <f>SUM((IF(ISBLANK(D42),B42,D42))+(IF(ISBLANK(E42),C42,E42)*Q18))</f>
        <v>68213.636618823366</v>
      </c>
      <c r="R42" s="70">
        <f>SUM((IF(ISBLANK(D42),B42,D42))+(IF(ISBLANK(E42),C42,E42)*R18))</f>
        <v>137167.26071675253</v>
      </c>
      <c r="S42" s="70">
        <f>SUM((IF(ISBLANK(D42),B42,D42))+(IF(ISBLANK(E42),C42,E42)*S18))</f>
        <v>283507.41559136839</v>
      </c>
      <c r="T42" s="305">
        <f t="shared" si="148"/>
        <v>1572272.3911030162</v>
      </c>
      <c r="U42" s="281">
        <f>SUM((IF(ISBLANK(D42),B42,D42))+(IF(ISBLANK(E42),C42,E42)*U18))*12</f>
        <v>10345513.745326864</v>
      </c>
      <c r="V42" s="282">
        <f>SUM((IF(ISBLANK(D42),B42,D42))+(IF(ISBLANK(E42),C42,E42)*V18))*12</f>
        <v>25805173.193344954</v>
      </c>
      <c r="W42" s="283">
        <f>SUM((IF(ISBLANK(D42),B42,D42))+(IF(ISBLANK(E42),C42,E42)*W18))*12</f>
        <v>47055495.836222634</v>
      </c>
      <c r="X42" s="177"/>
      <c r="Y42" s="505">
        <f>SUM(10105+7000)</f>
        <v>17105</v>
      </c>
      <c r="Z42" s="70">
        <f t="shared" si="149"/>
        <v>2021.4521407384641</v>
      </c>
      <c r="AA42" s="70">
        <f t="shared" si="150"/>
        <v>2021.4521407384641</v>
      </c>
      <c r="AB42" s="70">
        <f t="shared" si="151"/>
        <v>2021.4521407384641</v>
      </c>
      <c r="AC42" s="282">
        <f t="shared" si="134"/>
        <v>6064.3564222153927</v>
      </c>
      <c r="AD42" s="74"/>
      <c r="AE42" s="70">
        <f t="shared" si="152"/>
        <v>2051.1901415290749</v>
      </c>
      <c r="AF42" s="70">
        <f t="shared" si="153"/>
        <v>2051.1901415290749</v>
      </c>
      <c r="AG42" s="70">
        <f t="shared" si="154"/>
        <v>2051.1901415290749</v>
      </c>
      <c r="AH42" s="282">
        <f t="shared" si="135"/>
        <v>6153.5704245872248</v>
      </c>
      <c r="AI42" s="74"/>
      <c r="AJ42" s="70">
        <f t="shared" si="155"/>
        <v>2362.4302203705588</v>
      </c>
      <c r="AK42" s="70">
        <f t="shared" si="156"/>
        <v>2362.4302203705588</v>
      </c>
      <c r="AL42" s="70">
        <f t="shared" si="157"/>
        <v>2362.4302203705588</v>
      </c>
      <c r="AM42" s="282">
        <f t="shared" si="136"/>
        <v>7087.2906611116759</v>
      </c>
      <c r="AN42" s="74"/>
      <c r="AO42" s="70">
        <f t="shared" si="158"/>
        <v>2942.5171786550927</v>
      </c>
      <c r="AP42" s="70">
        <f t="shared" si="159"/>
        <v>2942.5171786550927</v>
      </c>
      <c r="AQ42" s="70">
        <f t="shared" si="160"/>
        <v>2942.5171786550927</v>
      </c>
      <c r="AR42" s="282">
        <f t="shared" si="137"/>
        <v>8827.5515359652782</v>
      </c>
      <c r="AS42" s="74"/>
      <c r="AT42" s="70">
        <f t="shared" si="161"/>
        <v>4051.3563432185001</v>
      </c>
      <c r="AU42" s="70">
        <f t="shared" si="162"/>
        <v>4051.3563432185001</v>
      </c>
      <c r="AV42" s="70">
        <f t="shared" si="163"/>
        <v>4051.3563432185001</v>
      </c>
      <c r="AW42" s="282">
        <f t="shared" si="138"/>
        <v>12154.0690296555</v>
      </c>
      <c r="AX42" s="74"/>
      <c r="AY42" s="70">
        <f t="shared" si="164"/>
        <v>6207.6772869483711</v>
      </c>
      <c r="AZ42" s="70">
        <f t="shared" si="165"/>
        <v>6207.6772869483711</v>
      </c>
      <c r="BA42" s="70">
        <f t="shared" si="166"/>
        <v>6207.6772869483711</v>
      </c>
      <c r="BB42" s="282">
        <f t="shared" si="139"/>
        <v>18623.031860845113</v>
      </c>
      <c r="BC42" s="74"/>
      <c r="BD42" s="70">
        <f t="shared" si="167"/>
        <v>10395.613068835877</v>
      </c>
      <c r="BE42" s="70">
        <f t="shared" si="168"/>
        <v>10395.613068835877</v>
      </c>
      <c r="BF42" s="70">
        <f t="shared" si="169"/>
        <v>10395.613068835877</v>
      </c>
      <c r="BG42" s="282">
        <f t="shared" si="140"/>
        <v>31186.839206507633</v>
      </c>
      <c r="BH42" s="74"/>
      <c r="BI42" s="70">
        <f t="shared" si="170"/>
        <v>18692.750460331801</v>
      </c>
      <c r="BJ42" s="70">
        <f t="shared" si="171"/>
        <v>18692.750460331801</v>
      </c>
      <c r="BK42" s="70">
        <f t="shared" si="172"/>
        <v>18692.750460331801</v>
      </c>
      <c r="BL42" s="282">
        <f t="shared" si="141"/>
        <v>56078.251380995403</v>
      </c>
      <c r="BM42" s="74"/>
      <c r="BN42" s="70">
        <f t="shared" si="173"/>
        <v>35202.484107394412</v>
      </c>
      <c r="BO42" s="70">
        <f t="shared" si="174"/>
        <v>35202.484107394412</v>
      </c>
      <c r="BP42" s="70">
        <f t="shared" si="175"/>
        <v>35202.484107394412</v>
      </c>
      <c r="BQ42" s="282">
        <f t="shared" si="142"/>
        <v>105607.45232218324</v>
      </c>
      <c r="BR42" s="74"/>
      <c r="BS42" s="70">
        <f t="shared" si="176"/>
        <v>68213.636618823366</v>
      </c>
      <c r="BT42" s="70">
        <f t="shared" si="177"/>
        <v>68213.636618823366</v>
      </c>
      <c r="BU42" s="70">
        <f t="shared" si="178"/>
        <v>68213.636618823366</v>
      </c>
      <c r="BV42" s="282">
        <f t="shared" si="143"/>
        <v>204640.9098564701</v>
      </c>
      <c r="BW42" s="74"/>
      <c r="BX42" s="70">
        <f t="shared" si="179"/>
        <v>137167.26071675253</v>
      </c>
      <c r="BY42" s="70">
        <f t="shared" si="180"/>
        <v>137167.26071675253</v>
      </c>
      <c r="BZ42" s="70">
        <f t="shared" si="181"/>
        <v>137167.26071675253</v>
      </c>
      <c r="CA42" s="282">
        <f t="shared" si="144"/>
        <v>411501.78215025761</v>
      </c>
      <c r="CB42" s="74"/>
      <c r="CC42" s="70">
        <f t="shared" si="182"/>
        <v>283507.41559136839</v>
      </c>
      <c r="CD42" s="70">
        <f t="shared" si="183"/>
        <v>283507.41559136839</v>
      </c>
      <c r="CE42" s="70">
        <f t="shared" si="184"/>
        <v>283507.41559136839</v>
      </c>
      <c r="CF42" s="282">
        <f t="shared" si="145"/>
        <v>850522.24677410512</v>
      </c>
      <c r="CG42" s="88"/>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1" t="s">
        <v>275</v>
      </c>
      <c r="B43" s="270">
        <v>0.1</v>
      </c>
      <c r="C43" s="269">
        <v>-0.01</v>
      </c>
      <c r="D43" s="118"/>
      <c r="E43" s="117"/>
      <c r="F43" s="130">
        <v>10000</v>
      </c>
      <c r="G43" s="131">
        <v>10000</v>
      </c>
      <c r="H43" s="70">
        <f>SUM((IF(ISBLANK(D43),B43,D43)*(H30/3))+(G43))</f>
        <v>11232.234977576665</v>
      </c>
      <c r="I43" s="104">
        <f>SUM(IF(ISBLANK(D43),      (IF((1*(IF(ISBLANK(E43),C43,E43)) + B43) &lt; 0,     0,     (1*(IF(ISBLANK(E43),C43,E43)) + B43)   )),       (IF((1*(IF(ISBLANK(E43),C43,E43)) + D43) &lt; 0,     0,     (1*(IF(ISBLANK(E43),C43,E43)) + D43)   ))  )       *   (I30/3)+(H43))</f>
        <v>17388.88282432334</v>
      </c>
      <c r="J43" s="282">
        <f t="shared" si="146"/>
        <v>145863.35340570001</v>
      </c>
      <c r="K43" s="70">
        <f>SUM(IF(ISBLANK(D43),      (IF((2*(IF(ISBLANK(E43),C43,E43)) + B43) &lt; 0,     0,     (2*(IF(ISBLANK(E43),C43,E43)) + B43)   )),       (IF((2*(IF(ISBLANK(E43),C43,E43)) + D43) &lt; 0,     0,     (2*(IF(ISBLANK(E43),C43,E43)) + D43)   ))  )       *   (K30/3)+(I43))</f>
        <v>34997.49096049933</v>
      </c>
      <c r="L43" s="70">
        <f>SUM(IF(ISBLANK(D43),      (IF((3*(IF(ISBLANK(E43),C43,E43)) + B43) &lt; 0,     0,     (3*(IF(ISBLANK(E43),C43,E43)) + B43)   )),       (IF((3*(IF(ISBLANK(E43),C43,E43)) + D43) &lt; 0,     0,     (3*(IF(ISBLANK(E43),C43,E43)) + D43)   ))  )       *   (L30/3)+(K43))</f>
        <v>76141.041954439308</v>
      </c>
      <c r="M43" s="70">
        <f>SUM(IF(ISBLANK(D43),      (IF((4*(IF(ISBLANK(E43),C43,E43)) + B43) &lt; 0,     0,     (4*(IF(ISBLANK(E43),C43,E43)) + B43)   )),       (IF((4*(IF(ISBLANK(E43),C43,E43)) + D43) &lt; 0,     0,     (4*(IF(ISBLANK(E43),C43,E43)) + D43)   ))  )       *   (M30/3)+(L43))</f>
        <v>162693.31416277002</v>
      </c>
      <c r="N43" s="70">
        <f>SUM(IF(ISBLANK(D43),      (IF((5*(IF(ISBLANK(E43),C43,E43)) + B43) &lt; 0,     0,     (5*(IF(ISBLANK(E43),C43,E43)) + B43)   )),       (IF((5*(IF(ISBLANK(E43),C43,E43)) + D43) &lt; 0,     0,     (5*(IF(ISBLANK(E43),C43,E43)) + D43)   ))  )       *   (N30/3)+(M43))</f>
        <v>332403.31706671091</v>
      </c>
      <c r="O43" s="282">
        <f t="shared" si="147"/>
        <v>1818705.4924332588</v>
      </c>
      <c r="P43" s="70">
        <f>SUM(IF(ISBLANK(D43),      (IF((6*(IF(ISBLANK(E43),C43,E43)) + B43) &lt; 0,     0,     (6*(IF(ISBLANK(E43),C43,E43)) + B43)   )),       (IF((6*(IF(ISBLANK(E43),C43,E43)) + D43) &lt; 0,     0,     (6*(IF(ISBLANK(E43),C43,E43)) + D43)   ))  )       *   (P30/3)+(N43))</f>
        <v>658381.94567724527</v>
      </c>
      <c r="Q43" s="70">
        <f>SUM(IF(ISBLANK(D43),      (IF((7*(IF(ISBLANK(E43),C43,E43)) + B43) &lt; 0,     0,     (7*(IF(ISBLANK(E43),C43,E43)) + B43)   )),       (IF((7*(IF(ISBLANK(E43),C43,E43)) + D43) &lt; 0,     0,     (7*(IF(ISBLANK(E43),C43,E43)) + D43)   ))  )       *   (Q30/3)+(P43))</f>
        <v>1219742.0292410757</v>
      </c>
      <c r="R43" s="70">
        <f>SUM(IF(ISBLANK(D43),      (IF((8*(IF(ISBLANK(E43),C43,E43)) + B43) &lt; 0,     0,     (8*(IF(ISBLANK(E43),C43,E43)) + B43)   )),       (IF((8*(IF(ISBLANK(E43),C43,E43)) + D43) &lt; 0,     0,     (8*(IF(ISBLANK(E43),C43,E43)) + D43)   ))  )       *   (R30/3)+(Q43))</f>
        <v>2079950.2105826216</v>
      </c>
      <c r="S43" s="70">
        <f>SUM(IF(ISBLANK(D43),      (IF((9*(IF(ISBLANK(E43),C43,E43)) + B43) &lt; 0,     0,     (9*(IF(ISBLANK(E43),C43,E43)) + B43)   )),       (IF((9*(IF(ISBLANK(E43),C43,E43)) + D43) &lt; 0,     0,     (9*(IF(ISBLANK(E43),C43,E43)) + D43)   ))  )       *   (S30/3)+(R43))</f>
        <v>3075288.8922571382</v>
      </c>
      <c r="T43" s="305">
        <f t="shared" si="148"/>
        <v>21100089.233274244</v>
      </c>
      <c r="U43" s="281">
        <f>SUM(IF(ISBLANK(D43),      (IF((10*(IF(ISBLANK(E43),C43,E43)) + B43) &lt; 0,     0,     (10*(IF(ISBLANK(E43),C43,E43)) + B43)   )),       (IF((10*(IF(ISBLANK(E43),C43,E43)) + D43) &lt; 0,     0,     (10*(IF(ISBLANK(E43),C43,E43)) + D43)   ))  )       *   (U30)+(S43))*12</f>
        <v>36903466.707085654</v>
      </c>
      <c r="V43" s="282">
        <f>SUM(IF(ISBLANK(D43),      (IF((11*(IF(ISBLANK(E43),C43,E43)) + B43) &lt; 0,     0,     (11*(IF(ISBLANK(E43),C43,E43)) + B43)   )),       (IF((11*(IF(ISBLANK(E43),C43,E43)) + D43) &lt; 0,     0,     (11*(IF(ISBLANK(E43),C43,E43)) + D43)   ))  )       *   (V30)+(U43))</f>
        <v>36903466.707085654</v>
      </c>
      <c r="W43" s="283">
        <f>SUM(IF(ISBLANK(D43),      (IF((12*(IF(ISBLANK(E43),C43,E43)) + B43) &lt; 0,     0,     (12*(IF(ISBLANK(E43),C43,E43)) + B43)   )),       (IF((12*(IF(ISBLANK(E43),C43,E43)) + D43) &lt; 0,     0,     (12*(IF(ISBLANK(E43),C43,E43)) + D43)   ))  )       *   (W30)+(V43))</f>
        <v>36903466.707085654</v>
      </c>
      <c r="X43" s="177"/>
      <c r="Y43" s="505">
        <f>SUM(1150+61191+16520+16425+10520+4487)</f>
        <v>110293</v>
      </c>
      <c r="Z43" s="70">
        <f t="shared" si="149"/>
        <v>10000</v>
      </c>
      <c r="AA43" s="70">
        <f t="shared" si="150"/>
        <v>10000</v>
      </c>
      <c r="AB43" s="70">
        <f t="shared" si="151"/>
        <v>10000</v>
      </c>
      <c r="AC43" s="282">
        <f t="shared" si="134"/>
        <v>30000</v>
      </c>
      <c r="AD43" s="74"/>
      <c r="AE43" s="70">
        <f t="shared" si="152"/>
        <v>10000</v>
      </c>
      <c r="AF43" s="70">
        <f t="shared" si="153"/>
        <v>10000</v>
      </c>
      <c r="AG43" s="70">
        <f t="shared" si="154"/>
        <v>10000</v>
      </c>
      <c r="AH43" s="282">
        <f t="shared" si="135"/>
        <v>30000</v>
      </c>
      <c r="AI43" s="74"/>
      <c r="AJ43" s="70">
        <f t="shared" si="155"/>
        <v>11232.234977576665</v>
      </c>
      <c r="AK43" s="70">
        <f t="shared" si="156"/>
        <v>11232.234977576665</v>
      </c>
      <c r="AL43" s="70">
        <f t="shared" si="157"/>
        <v>11232.234977576665</v>
      </c>
      <c r="AM43" s="282">
        <f t="shared" si="136"/>
        <v>33696.704932729997</v>
      </c>
      <c r="AN43" s="74"/>
      <c r="AO43" s="70">
        <f t="shared" si="158"/>
        <v>17388.88282432334</v>
      </c>
      <c r="AP43" s="70">
        <f t="shared" si="159"/>
        <v>17388.88282432334</v>
      </c>
      <c r="AQ43" s="70">
        <f t="shared" si="160"/>
        <v>17388.88282432334</v>
      </c>
      <c r="AR43" s="282">
        <f t="shared" si="137"/>
        <v>52166.648472970017</v>
      </c>
      <c r="AS43" s="74"/>
      <c r="AT43" s="70">
        <f t="shared" si="161"/>
        <v>34997.49096049933</v>
      </c>
      <c r="AU43" s="70">
        <f t="shared" si="162"/>
        <v>34997.49096049933</v>
      </c>
      <c r="AV43" s="70">
        <f t="shared" si="163"/>
        <v>34997.49096049933</v>
      </c>
      <c r="AW43" s="282">
        <f t="shared" si="138"/>
        <v>104992.47288149799</v>
      </c>
      <c r="AX43" s="74"/>
      <c r="AY43" s="70">
        <f t="shared" si="164"/>
        <v>76141.041954439308</v>
      </c>
      <c r="AZ43" s="70">
        <f t="shared" si="165"/>
        <v>76141.041954439308</v>
      </c>
      <c r="BA43" s="70">
        <f t="shared" si="166"/>
        <v>76141.041954439308</v>
      </c>
      <c r="BB43" s="282">
        <f t="shared" si="139"/>
        <v>228423.12586331792</v>
      </c>
      <c r="BC43" s="74"/>
      <c r="BD43" s="70">
        <f t="shared" si="167"/>
        <v>162693.31416277002</v>
      </c>
      <c r="BE43" s="70">
        <f t="shared" si="168"/>
        <v>162693.31416277002</v>
      </c>
      <c r="BF43" s="70">
        <f t="shared" si="169"/>
        <v>162693.31416277002</v>
      </c>
      <c r="BG43" s="282">
        <f t="shared" si="140"/>
        <v>488079.94248831004</v>
      </c>
      <c r="BH43" s="74"/>
      <c r="BI43" s="70">
        <f t="shared" si="170"/>
        <v>332403.31706671091</v>
      </c>
      <c r="BJ43" s="70">
        <f t="shared" si="171"/>
        <v>332403.31706671091</v>
      </c>
      <c r="BK43" s="70">
        <f t="shared" si="172"/>
        <v>332403.31706671091</v>
      </c>
      <c r="BL43" s="282">
        <f t="shared" si="141"/>
        <v>997209.95120013272</v>
      </c>
      <c r="BM43" s="74"/>
      <c r="BN43" s="70">
        <f t="shared" si="173"/>
        <v>658381.94567724527</v>
      </c>
      <c r="BO43" s="70">
        <f t="shared" si="174"/>
        <v>658381.94567724527</v>
      </c>
      <c r="BP43" s="70">
        <f t="shared" si="175"/>
        <v>658381.94567724527</v>
      </c>
      <c r="BQ43" s="282">
        <f t="shared" si="142"/>
        <v>1975145.8370317358</v>
      </c>
      <c r="BR43" s="74"/>
      <c r="BS43" s="70">
        <f t="shared" si="176"/>
        <v>1219742.0292410757</v>
      </c>
      <c r="BT43" s="70">
        <f t="shared" si="177"/>
        <v>1219742.0292410757</v>
      </c>
      <c r="BU43" s="70">
        <f t="shared" si="178"/>
        <v>1219742.0292410757</v>
      </c>
      <c r="BV43" s="282">
        <f t="shared" si="143"/>
        <v>3659226.0877232272</v>
      </c>
      <c r="BW43" s="74"/>
      <c r="BX43" s="70">
        <f t="shared" si="179"/>
        <v>2079950.2105826216</v>
      </c>
      <c r="BY43" s="70">
        <f t="shared" si="180"/>
        <v>2079950.2105826216</v>
      </c>
      <c r="BZ43" s="70">
        <f t="shared" si="181"/>
        <v>2079950.2105826216</v>
      </c>
      <c r="CA43" s="282">
        <f t="shared" si="144"/>
        <v>6239850.6317478651</v>
      </c>
      <c r="CB43" s="74"/>
      <c r="CC43" s="70">
        <f t="shared" si="182"/>
        <v>3075288.8922571382</v>
      </c>
      <c r="CD43" s="70">
        <f t="shared" si="183"/>
        <v>3075288.8922571382</v>
      </c>
      <c r="CE43" s="70">
        <f t="shared" si="184"/>
        <v>3075288.8922571382</v>
      </c>
      <c r="CF43" s="282">
        <f t="shared" si="145"/>
        <v>9225866.6767714135</v>
      </c>
      <c r="CG43" s="88"/>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196" t="s">
        <v>276</v>
      </c>
      <c r="B44" s="306">
        <v>3</v>
      </c>
      <c r="C44" s="307">
        <v>-0.05</v>
      </c>
      <c r="D44" s="122"/>
      <c r="E44" s="123"/>
      <c r="F44" s="129">
        <v>6</v>
      </c>
      <c r="G44" s="128">
        <v>5</v>
      </c>
      <c r="H44" s="195">
        <f>SUM((IF(ISBLANK(D44),B44,D44)))</f>
        <v>3</v>
      </c>
      <c r="I44" s="195">
        <f>SUM(H44+(IF(ISBLANK(E44),C44,E44)))</f>
        <v>2.95</v>
      </c>
      <c r="J44" s="279">
        <f>SUM((F44+G44+H44+I44)/4)</f>
        <v>4.2374999999999998</v>
      </c>
      <c r="K44" s="195">
        <f>SUM(I44+(IF(ISBLANK(E44),C44,E44)))</f>
        <v>2.9000000000000004</v>
      </c>
      <c r="L44" s="195">
        <f>SUM(K44+(IF(ISBLANK(E44),C44,E44)))</f>
        <v>2.8500000000000005</v>
      </c>
      <c r="M44" s="195">
        <f>SUM(L44+(IF(ISBLANK(E44),C44,E44)))</f>
        <v>2.8000000000000007</v>
      </c>
      <c r="N44" s="195">
        <f>SUM(M44+(IF(ISBLANK(E44),C44,E44)))</f>
        <v>2.7500000000000009</v>
      </c>
      <c r="O44" s="279">
        <f>SUM(K44+L44+M44+N44)/4</f>
        <v>2.8250000000000002</v>
      </c>
      <c r="P44" s="195">
        <f>SUM(N44+(IF(ISBLANK(E44),C44,E44)))</f>
        <v>2.7000000000000011</v>
      </c>
      <c r="Q44" s="195">
        <f>SUM(P44+(IF(ISBLANK(E44),C44,E44)))</f>
        <v>2.6500000000000012</v>
      </c>
      <c r="R44" s="195">
        <f>SUM(Q44+(IF(ISBLANK(E44),C44,E44)))</f>
        <v>2.6000000000000014</v>
      </c>
      <c r="S44" s="195">
        <f>SUM(R44+(IF(ISBLANK(E44),C44,E44)))</f>
        <v>2.5500000000000016</v>
      </c>
      <c r="T44" s="304">
        <f>SUM(P44+Q44+R44+S44)/4</f>
        <v>2.6250000000000013</v>
      </c>
      <c r="U44" s="278">
        <f>SUM(S44+(IF(ISBLANK(E44),C44,E44)))</f>
        <v>2.5000000000000018</v>
      </c>
      <c r="V44" s="279">
        <f>SUM(U44+(IF(ISBLANK(E44),C44,E44)))</f>
        <v>2.450000000000002</v>
      </c>
      <c r="W44" s="280">
        <f>SUM(V44+(IF(ISBLANK(E44),C44,E44)))</f>
        <v>2.4000000000000021</v>
      </c>
      <c r="X44" s="172"/>
      <c r="Y44" s="506">
        <v>1.2</v>
      </c>
      <c r="Z44" s="195">
        <f>F44</f>
        <v>6</v>
      </c>
      <c r="AA44" s="195">
        <f>F44</f>
        <v>6</v>
      </c>
      <c r="AB44" s="195">
        <f>F44</f>
        <v>6</v>
      </c>
      <c r="AC44" s="279">
        <f>SUM((Z44+AA44+AB44)/3)</f>
        <v>6</v>
      </c>
      <c r="AD44" s="85"/>
      <c r="AE44" s="195">
        <f>G44</f>
        <v>5</v>
      </c>
      <c r="AF44" s="195">
        <f>G44</f>
        <v>5</v>
      </c>
      <c r="AG44" s="195">
        <f>G44</f>
        <v>5</v>
      </c>
      <c r="AH44" s="279">
        <f>SUM((AE44+AF44+AG44)/3)</f>
        <v>5</v>
      </c>
      <c r="AI44" s="85"/>
      <c r="AJ44" s="195">
        <f>H44</f>
        <v>3</v>
      </c>
      <c r="AK44" s="195">
        <f>H44</f>
        <v>3</v>
      </c>
      <c r="AL44" s="195">
        <f>H44</f>
        <v>3</v>
      </c>
      <c r="AM44" s="279">
        <f>SUM((AJ44+AK44+AL44)/3)</f>
        <v>3</v>
      </c>
      <c r="AN44" s="85"/>
      <c r="AO44" s="195">
        <f>I44</f>
        <v>2.95</v>
      </c>
      <c r="AP44" s="195">
        <f>I44</f>
        <v>2.95</v>
      </c>
      <c r="AQ44" s="195">
        <f>I44</f>
        <v>2.95</v>
      </c>
      <c r="AR44" s="279">
        <f>SUM((AO44+AP44+AQ44)/3)</f>
        <v>2.9500000000000006</v>
      </c>
      <c r="AS44" s="85"/>
      <c r="AT44" s="195">
        <f>K44</f>
        <v>2.9000000000000004</v>
      </c>
      <c r="AU44" s="195">
        <f>K44</f>
        <v>2.9000000000000004</v>
      </c>
      <c r="AV44" s="195">
        <f>K44</f>
        <v>2.9000000000000004</v>
      </c>
      <c r="AW44" s="279">
        <f>SUM((AT44+AU44+AV44)/3)</f>
        <v>2.9000000000000004</v>
      </c>
      <c r="AX44" s="85"/>
      <c r="AY44" s="195">
        <f>L44</f>
        <v>2.8500000000000005</v>
      </c>
      <c r="AZ44" s="195">
        <f>L44</f>
        <v>2.8500000000000005</v>
      </c>
      <c r="BA44" s="195">
        <f>L44</f>
        <v>2.8500000000000005</v>
      </c>
      <c r="BB44" s="279">
        <f>SUM((AY44+AZ44+BA44)/3)</f>
        <v>2.85</v>
      </c>
      <c r="BC44" s="85"/>
      <c r="BD44" s="195">
        <f>M44</f>
        <v>2.8000000000000007</v>
      </c>
      <c r="BE44" s="195">
        <f>M44</f>
        <v>2.8000000000000007</v>
      </c>
      <c r="BF44" s="195">
        <f>M44</f>
        <v>2.8000000000000007</v>
      </c>
      <c r="BG44" s="279">
        <f>SUM((BD44+BE44+BF44)/3)</f>
        <v>2.8000000000000007</v>
      </c>
      <c r="BH44" s="85"/>
      <c r="BI44" s="195">
        <f>N44</f>
        <v>2.7500000000000009</v>
      </c>
      <c r="BJ44" s="195">
        <f>N44</f>
        <v>2.7500000000000009</v>
      </c>
      <c r="BK44" s="195">
        <f>N44</f>
        <v>2.7500000000000009</v>
      </c>
      <c r="BL44" s="279">
        <f>SUM((BI44+BJ44+BK44)/3)</f>
        <v>2.7500000000000013</v>
      </c>
      <c r="BM44" s="85"/>
      <c r="BN44" s="195">
        <f>P44</f>
        <v>2.7000000000000011</v>
      </c>
      <c r="BO44" s="195">
        <f>P44</f>
        <v>2.7000000000000011</v>
      </c>
      <c r="BP44" s="195">
        <f>P44</f>
        <v>2.7000000000000011</v>
      </c>
      <c r="BQ44" s="279">
        <f>SUM((BN44+BO44+BP44)/3)</f>
        <v>2.7000000000000011</v>
      </c>
      <c r="BR44" s="85"/>
      <c r="BS44" s="195">
        <f>Q44</f>
        <v>2.6500000000000012</v>
      </c>
      <c r="BT44" s="195">
        <f>Q44</f>
        <v>2.6500000000000012</v>
      </c>
      <c r="BU44" s="195">
        <f>Q44</f>
        <v>2.6500000000000012</v>
      </c>
      <c r="BV44" s="279">
        <f>SUM((BS44+BT44+BU44)/3)</f>
        <v>2.6500000000000012</v>
      </c>
      <c r="BW44" s="85"/>
      <c r="BX44" s="195">
        <f>R44</f>
        <v>2.6000000000000014</v>
      </c>
      <c r="BY44" s="195">
        <f>R44</f>
        <v>2.6000000000000014</v>
      </c>
      <c r="BZ44" s="195">
        <f>R44</f>
        <v>2.6000000000000014</v>
      </c>
      <c r="CA44" s="279">
        <f>SUM((BX44+BY44+BZ44)/3)</f>
        <v>2.6000000000000014</v>
      </c>
      <c r="CB44" s="85"/>
      <c r="CC44" s="195">
        <f>S44</f>
        <v>2.5500000000000016</v>
      </c>
      <c r="CD44" s="195">
        <f>S44</f>
        <v>2.5500000000000016</v>
      </c>
      <c r="CE44" s="195">
        <f>S44</f>
        <v>2.5500000000000016</v>
      </c>
      <c r="CF44" s="279">
        <f>SUM((CC44+CD44+CE44)/3)</f>
        <v>2.5500000000000016</v>
      </c>
      <c r="CG44" s="87"/>
    </row>
    <row r="45" spans="1:175" s="9" customFormat="1" ht="9.75" customHeight="1" x14ac:dyDescent="0.15">
      <c r="A45" s="61" t="s">
        <v>277</v>
      </c>
      <c r="B45" s="260">
        <v>0.3</v>
      </c>
      <c r="C45" s="305">
        <v>10000000</v>
      </c>
      <c r="D45" s="118"/>
      <c r="E45" s="119"/>
      <c r="F45" s="130">
        <v>0</v>
      </c>
      <c r="G45" s="131">
        <v>0</v>
      </c>
      <c r="H45" s="70">
        <f>SUM(G45+(IF(IF(ISBLANK(D45),B45,D45)*(G30/3)&gt;(IF(ISBLANK(E45),C45,E45)),IF(ISBLANK(E45),C45,E45),IF(ISBLANK(D45),B45,D45)*(G30/3))))</f>
        <v>0</v>
      </c>
      <c r="I45" s="104">
        <f>SUM(G45+(IF(IF(ISBLANK(D45),B45,D45)*(H30/3)&gt;(IF(ISBLANK(E45),C45,E45)),IF(ISBLANK(E45),C45,E45),IF(ISBLANK(D45),B45,D45)*(H30/3))))</f>
        <v>3696.7049327299965</v>
      </c>
      <c r="J45" s="282">
        <f t="shared" si="146"/>
        <v>11090.114798189989</v>
      </c>
      <c r="K45" s="70">
        <f>SUM(G45+(IF(IF(ISBLANK(D45),B45,D45)*(I30/3)&gt;(IF(ISBLANK(E45),C45,E45)),IF(ISBLANK(E45),C45,E45),IF(ISBLANK(D45),B45,D45)*(I30/3))))</f>
        <v>20522.15948915558</v>
      </c>
      <c r="L45" s="70">
        <f>SUM(G45+(IF(IF(ISBLANK(D45),B45,D45)*(K30/3)&gt;(IF(ISBLANK(E45),C45,E45)),IF(ISBLANK(E45),C45,E45),IF(ISBLANK(D45),B45,D45)*(K30/3))))</f>
        <v>66032.28051065997</v>
      </c>
      <c r="M45" s="70">
        <f>SUM(G45+(IF(IF(ISBLANK(D45),B45,D45)*(L30/3)&gt;(IF(ISBLANK(E45),C45,E45)),IF(ISBLANK(E45),C45,E45),IF(ISBLANK(D45),B45,D45)*(L30/3))))</f>
        <v>176329.50425974271</v>
      </c>
      <c r="N45" s="70">
        <f>SUM(G45+(IF(IF(ISBLANK(D45),B45,D45)*(M30/3)&gt;(IF(ISBLANK(E45),C45,E45)),IF(ISBLANK(E45),C45,E45),IF(ISBLANK(D45),B45,D45)*(M30/3))))</f>
        <v>432761.36104165355</v>
      </c>
      <c r="O45" s="282">
        <f t="shared" si="147"/>
        <v>2086935.9159036356</v>
      </c>
      <c r="P45" s="70">
        <f>SUM(G45+(IF(IF(ISBLANK(D45),B45,D45)*(N30/3)&gt;(IF(ISBLANK(E45),C45,E45)),IF(ISBLANK(E45),C45,E45),IF(ISBLANK(D45),B45,D45)*(N30/3))))</f>
        <v>1018260.0174236454</v>
      </c>
      <c r="Q45" s="70">
        <f>SUM(G45+(IF(IF(ISBLANK(D45),B45,D45)*(P30/3)&gt;(IF(ISBLANK(E45),C45,E45)),IF(ISBLANK(E45),C45,E45),IF(ISBLANK(D45),B45,D45)*(P30/3))))</f>
        <v>2444839.7145790067</v>
      </c>
      <c r="R45" s="70">
        <f>SUM(G45+(IF(IF(ISBLANK(D45),B45,D45)*(Q30/3)&gt;(IF(ISBLANK(E45),C45,E45)),IF(ISBLANK(E45),C45,E45),IF(ISBLANK(D45),B45,D45)*(Q30/3))))</f>
        <v>5613600.8356383042</v>
      </c>
      <c r="S45" s="70">
        <f>SUM(G45+(IF(IF(ISBLANK(D45),B45,D45)*(R30/3)&gt;(IF(ISBLANK(E45),C45,E45)),IF(ISBLANK(E45),C45,E45),IF(ISBLANK(D45),B45,D45)*(R30/3))))</f>
        <v>10000000</v>
      </c>
      <c r="T45" s="305">
        <f t="shared" si="148"/>
        <v>57230101.702922866</v>
      </c>
      <c r="U45" s="281">
        <f>SUM(G45+(IF(IF(ISBLANK(D45),B45,D45)*(S30)&gt;(IF(ISBLANK(E45),C45,E45)),IF(ISBLANK(E45),C45,E45),IF(ISBLANK(D45),B45,D45)*(S30))))</f>
        <v>10000000</v>
      </c>
      <c r="V45" s="282">
        <f>SUM(G45+(IF(IF(ISBLANK(D45),B45,D45)*(U30)&gt;(IF(ISBLANK(E45),C45,E45)),IF(ISBLANK(E45),C45,E45),IF(ISBLANK(D45),B45,D45)*(U30))))</f>
        <v>10000000</v>
      </c>
      <c r="W45" s="283">
        <f>SUM(G45+(IF(IF(ISBLANK(D45),B45,D45)*(V30)&gt;(IF(ISBLANK(E45),C45,E45)),IF(ISBLANK(E45),C45,E45),IF(ISBLANK(D45),B45,D45)*(V30))))</f>
        <v>10000000</v>
      </c>
      <c r="X45" s="177"/>
      <c r="Y45" s="505">
        <v>0</v>
      </c>
      <c r="Z45" s="70">
        <f t="shared" si="149"/>
        <v>0</v>
      </c>
      <c r="AA45" s="70">
        <f t="shared" si="150"/>
        <v>0</v>
      </c>
      <c r="AB45" s="70">
        <f t="shared" si="151"/>
        <v>0</v>
      </c>
      <c r="AC45" s="282">
        <f>SUM(Z45:AB45)</f>
        <v>0</v>
      </c>
      <c r="AD45" s="74"/>
      <c r="AE45" s="70">
        <f t="shared" si="152"/>
        <v>0</v>
      </c>
      <c r="AF45" s="70">
        <f t="shared" si="153"/>
        <v>0</v>
      </c>
      <c r="AG45" s="70">
        <f t="shared" si="154"/>
        <v>0</v>
      </c>
      <c r="AH45" s="282">
        <f t="shared" si="135"/>
        <v>0</v>
      </c>
      <c r="AI45" s="74"/>
      <c r="AJ45" s="70">
        <f t="shared" si="155"/>
        <v>0</v>
      </c>
      <c r="AK45" s="70">
        <f t="shared" si="156"/>
        <v>0</v>
      </c>
      <c r="AL45" s="70">
        <f t="shared" si="157"/>
        <v>0</v>
      </c>
      <c r="AM45" s="282">
        <f>SUM(AJ45:AL45)</f>
        <v>0</v>
      </c>
      <c r="AN45" s="74"/>
      <c r="AO45" s="70">
        <f t="shared" si="158"/>
        <v>3696.7049327299965</v>
      </c>
      <c r="AP45" s="70">
        <f t="shared" si="159"/>
        <v>3696.7049327299965</v>
      </c>
      <c r="AQ45" s="70">
        <f t="shared" si="160"/>
        <v>3696.7049327299965</v>
      </c>
      <c r="AR45" s="282">
        <f>SUM(AO45:AQ45)</f>
        <v>11090.114798189989</v>
      </c>
      <c r="AS45" s="74"/>
      <c r="AT45" s="70">
        <f t="shared" si="161"/>
        <v>20522.15948915558</v>
      </c>
      <c r="AU45" s="70">
        <f t="shared" si="162"/>
        <v>20522.15948915558</v>
      </c>
      <c r="AV45" s="70">
        <f t="shared" si="163"/>
        <v>20522.15948915558</v>
      </c>
      <c r="AW45" s="282">
        <f>SUM(AT45:AV45)</f>
        <v>61566.478467466739</v>
      </c>
      <c r="AX45" s="74"/>
      <c r="AY45" s="70">
        <f t="shared" si="164"/>
        <v>66032.28051065997</v>
      </c>
      <c r="AZ45" s="70">
        <f t="shared" si="165"/>
        <v>66032.28051065997</v>
      </c>
      <c r="BA45" s="70">
        <f t="shared" si="166"/>
        <v>66032.28051065997</v>
      </c>
      <c r="BB45" s="282">
        <f>SUM(AY45:BA45)</f>
        <v>198096.84153197991</v>
      </c>
      <c r="BC45" s="74"/>
      <c r="BD45" s="70">
        <f t="shared" si="167"/>
        <v>176329.50425974271</v>
      </c>
      <c r="BE45" s="70">
        <f t="shared" si="168"/>
        <v>176329.50425974271</v>
      </c>
      <c r="BF45" s="70">
        <f t="shared" si="169"/>
        <v>176329.50425974271</v>
      </c>
      <c r="BG45" s="282">
        <f>SUM(BD45:BF45)</f>
        <v>528988.51277922816</v>
      </c>
      <c r="BH45" s="74"/>
      <c r="BI45" s="70">
        <f t="shared" si="170"/>
        <v>432761.36104165355</v>
      </c>
      <c r="BJ45" s="70">
        <f t="shared" si="171"/>
        <v>432761.36104165355</v>
      </c>
      <c r="BK45" s="70">
        <f t="shared" si="172"/>
        <v>432761.36104165355</v>
      </c>
      <c r="BL45" s="282">
        <f>SUM(BI45:BK45)</f>
        <v>1298284.0831249608</v>
      </c>
      <c r="BM45" s="74"/>
      <c r="BN45" s="70">
        <f t="shared" si="173"/>
        <v>1018260.0174236454</v>
      </c>
      <c r="BO45" s="70">
        <f>P45</f>
        <v>1018260.0174236454</v>
      </c>
      <c r="BP45" s="70">
        <f t="shared" si="175"/>
        <v>1018260.0174236454</v>
      </c>
      <c r="BQ45" s="282">
        <f>SUM(BN45:BP45)</f>
        <v>3054780.0522709358</v>
      </c>
      <c r="BR45" s="74"/>
      <c r="BS45" s="70">
        <f t="shared" si="176"/>
        <v>2444839.7145790067</v>
      </c>
      <c r="BT45" s="70">
        <f t="shared" si="177"/>
        <v>2444839.7145790067</v>
      </c>
      <c r="BU45" s="70">
        <f t="shared" si="178"/>
        <v>2444839.7145790067</v>
      </c>
      <c r="BV45" s="282">
        <f>SUM(BS45:BU45)</f>
        <v>7334519.14373702</v>
      </c>
      <c r="BW45" s="74"/>
      <c r="BX45" s="70">
        <f t="shared" si="179"/>
        <v>5613600.8356383042</v>
      </c>
      <c r="BY45" s="70">
        <f t="shared" si="180"/>
        <v>5613600.8356383042</v>
      </c>
      <c r="BZ45" s="70">
        <f t="shared" si="181"/>
        <v>5613600.8356383042</v>
      </c>
      <c r="CA45" s="282">
        <f>SUM(BX45:BZ45)</f>
        <v>16840802.506914914</v>
      </c>
      <c r="CB45" s="74"/>
      <c r="CC45" s="70">
        <f t="shared" si="182"/>
        <v>10000000</v>
      </c>
      <c r="CD45" s="70">
        <f t="shared" si="183"/>
        <v>10000000</v>
      </c>
      <c r="CE45" s="70">
        <f t="shared" si="184"/>
        <v>10000000</v>
      </c>
      <c r="CF45" s="282">
        <f>SUM(CC45:CE45)</f>
        <v>30000000</v>
      </c>
      <c r="CG45" s="88"/>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1" t="s">
        <v>278</v>
      </c>
      <c r="B46" s="281">
        <v>100000</v>
      </c>
      <c r="C46" s="305"/>
      <c r="D46" s="116"/>
      <c r="E46" s="357"/>
      <c r="F46" s="130">
        <v>1000</v>
      </c>
      <c r="G46" s="131">
        <f>SUM((IF(ISBLANK(D46),B46,D46)/3)*0.35)</f>
        <v>11666.666666666666</v>
      </c>
      <c r="H46" s="70">
        <f>SUM((IF(ISBLANK(D46),B46,D46)/3)*0.3)</f>
        <v>10000</v>
      </c>
      <c r="I46" s="104">
        <f>SUM((IF(ISBLANK(D46),B46,D46)/3)*0.2)</f>
        <v>6666.6666666666679</v>
      </c>
      <c r="J46" s="282">
        <f>SUM(F46:I46)*3</f>
        <v>88000</v>
      </c>
      <c r="K46" s="70">
        <f>SUM((IF(ISBLANK(D46),B46,D46)/3)*0.15)</f>
        <v>5000</v>
      </c>
      <c r="L46" s="70">
        <v>0</v>
      </c>
      <c r="M46" s="70">
        <v>0</v>
      </c>
      <c r="N46" s="70">
        <v>0</v>
      </c>
      <c r="O46" s="282">
        <f>SUM(K46:N46)*3</f>
        <v>15000</v>
      </c>
      <c r="P46" s="70">
        <v>0</v>
      </c>
      <c r="Q46" s="70">
        <v>0</v>
      </c>
      <c r="R46" s="70">
        <v>0</v>
      </c>
      <c r="S46" s="70">
        <v>0</v>
      </c>
      <c r="T46" s="305">
        <f>SUM(P46:S46)*3</f>
        <v>0</v>
      </c>
      <c r="U46" s="281">
        <v>0</v>
      </c>
      <c r="V46" s="282">
        <v>0</v>
      </c>
      <c r="W46" s="283">
        <v>0</v>
      </c>
      <c r="X46" s="177"/>
      <c r="Y46" s="505">
        <v>2000</v>
      </c>
      <c r="Z46" s="70">
        <f t="shared" si="149"/>
        <v>1000</v>
      </c>
      <c r="AA46" s="70">
        <f t="shared" si="150"/>
        <v>1000</v>
      </c>
      <c r="AB46" s="70">
        <f t="shared" si="151"/>
        <v>1000</v>
      </c>
      <c r="AC46" s="282">
        <f>SUM(Z46:AB46)</f>
        <v>3000</v>
      </c>
      <c r="AD46" s="74"/>
      <c r="AE46" s="70">
        <f t="shared" si="152"/>
        <v>11666.666666666666</v>
      </c>
      <c r="AF46" s="70">
        <f t="shared" si="153"/>
        <v>11666.666666666666</v>
      </c>
      <c r="AG46" s="70">
        <f t="shared" si="154"/>
        <v>11666.666666666666</v>
      </c>
      <c r="AH46" s="282">
        <f t="shared" si="135"/>
        <v>35000</v>
      </c>
      <c r="AI46" s="74"/>
      <c r="AJ46" s="70">
        <f t="shared" si="155"/>
        <v>10000</v>
      </c>
      <c r="AK46" s="70">
        <f t="shared" si="156"/>
        <v>10000</v>
      </c>
      <c r="AL46" s="70">
        <f t="shared" si="157"/>
        <v>10000</v>
      </c>
      <c r="AM46" s="282">
        <f>SUM(AJ46:AL46)</f>
        <v>30000</v>
      </c>
      <c r="AN46" s="74"/>
      <c r="AO46" s="70">
        <f t="shared" si="158"/>
        <v>6666.6666666666679</v>
      </c>
      <c r="AP46" s="70">
        <f t="shared" si="159"/>
        <v>6666.6666666666679</v>
      </c>
      <c r="AQ46" s="70">
        <f t="shared" si="160"/>
        <v>6666.6666666666679</v>
      </c>
      <c r="AR46" s="282">
        <f>SUM(AO46:AQ46)</f>
        <v>20000.000000000004</v>
      </c>
      <c r="AS46" s="74"/>
      <c r="AT46" s="70">
        <f t="shared" si="161"/>
        <v>5000</v>
      </c>
      <c r="AU46" s="70">
        <f t="shared" si="162"/>
        <v>5000</v>
      </c>
      <c r="AV46" s="70">
        <f t="shared" si="163"/>
        <v>5000</v>
      </c>
      <c r="AW46" s="282">
        <f>SUM(AT46:AV46)</f>
        <v>15000</v>
      </c>
      <c r="AX46" s="74"/>
      <c r="AY46" s="70">
        <f t="shared" si="164"/>
        <v>0</v>
      </c>
      <c r="AZ46" s="70">
        <f t="shared" si="165"/>
        <v>0</v>
      </c>
      <c r="BA46" s="70">
        <f t="shared" si="166"/>
        <v>0</v>
      </c>
      <c r="BB46" s="282">
        <f>SUM(AY46:BA46)</f>
        <v>0</v>
      </c>
      <c r="BC46" s="74"/>
      <c r="BD46" s="70">
        <f t="shared" si="167"/>
        <v>0</v>
      </c>
      <c r="BE46" s="70">
        <f t="shared" si="168"/>
        <v>0</v>
      </c>
      <c r="BF46" s="70">
        <f t="shared" si="169"/>
        <v>0</v>
      </c>
      <c r="BG46" s="282">
        <f>SUM(BD46:BF46)</f>
        <v>0</v>
      </c>
      <c r="BH46" s="74"/>
      <c r="BI46" s="70">
        <f t="shared" si="170"/>
        <v>0</v>
      </c>
      <c r="BJ46" s="70">
        <f t="shared" si="171"/>
        <v>0</v>
      </c>
      <c r="BK46" s="70">
        <f t="shared" si="172"/>
        <v>0</v>
      </c>
      <c r="BL46" s="282">
        <f>SUM(BI46:BK46)</f>
        <v>0</v>
      </c>
      <c r="BM46" s="74"/>
      <c r="BN46" s="70">
        <f t="shared" si="173"/>
        <v>0</v>
      </c>
      <c r="BO46" s="70">
        <f>P46</f>
        <v>0</v>
      </c>
      <c r="BP46" s="70">
        <f t="shared" si="175"/>
        <v>0</v>
      </c>
      <c r="BQ46" s="282">
        <f>SUM(BN46:BP46)</f>
        <v>0</v>
      </c>
      <c r="BR46" s="74"/>
      <c r="BS46" s="70">
        <f t="shared" si="176"/>
        <v>0</v>
      </c>
      <c r="BT46" s="70">
        <f t="shared" si="177"/>
        <v>0</v>
      </c>
      <c r="BU46" s="70">
        <f t="shared" si="178"/>
        <v>0</v>
      </c>
      <c r="BV46" s="282">
        <f>SUM(BS46:BU46)</f>
        <v>0</v>
      </c>
      <c r="BW46" s="74"/>
      <c r="BX46" s="70">
        <f t="shared" si="179"/>
        <v>0</v>
      </c>
      <c r="BY46" s="70">
        <f t="shared" si="180"/>
        <v>0</v>
      </c>
      <c r="BZ46" s="70">
        <f t="shared" si="181"/>
        <v>0</v>
      </c>
      <c r="CA46" s="282">
        <f>SUM(BX46:BZ46)</f>
        <v>0</v>
      </c>
      <c r="CB46" s="74"/>
      <c r="CC46" s="70">
        <f t="shared" si="182"/>
        <v>0</v>
      </c>
      <c r="CD46" s="70">
        <f t="shared" si="183"/>
        <v>0</v>
      </c>
      <c r="CE46" s="70">
        <f t="shared" si="184"/>
        <v>0</v>
      </c>
      <c r="CF46" s="282">
        <f>SUM(CC46:CE46)</f>
        <v>0</v>
      </c>
      <c r="CG46" s="88"/>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2" t="s">
        <v>207</v>
      </c>
      <c r="B47" s="161"/>
      <c r="C47" s="157"/>
      <c r="D47" s="161"/>
      <c r="E47" s="86"/>
      <c r="F47" s="105">
        <f>AC47</f>
        <v>129082.35642221538</v>
      </c>
      <c r="G47" s="77">
        <f>AH47</f>
        <v>161168.57042458723</v>
      </c>
      <c r="H47" s="77">
        <f>AM47</f>
        <v>180755.20223058364</v>
      </c>
      <c r="I47" s="77">
        <f>AR47</f>
        <v>279384.08194954478</v>
      </c>
      <c r="J47" s="72">
        <f>SUM(F47:I47)</f>
        <v>750390.21102693095</v>
      </c>
      <c r="K47" s="77">
        <f>AW47</f>
        <v>614055.25266914046</v>
      </c>
      <c r="L47" s="77">
        <f>BB47</f>
        <v>1402500.3211202798</v>
      </c>
      <c r="M47" s="77">
        <f>BG47</f>
        <v>3238046.3278249875</v>
      </c>
      <c r="N47" s="77">
        <f>BL47</f>
        <v>7169285.1278867209</v>
      </c>
      <c r="O47" s="72">
        <f>SUM(K47:N47)</f>
        <v>12423887.029501129</v>
      </c>
      <c r="P47" s="77">
        <f>BQ47</f>
        <v>15632860.374863558</v>
      </c>
      <c r="Q47" s="77">
        <f>BV47</f>
        <v>33975497.314693503</v>
      </c>
      <c r="R47" s="77">
        <f>CA47</f>
        <v>71514554.897761688</v>
      </c>
      <c r="S47" s="77">
        <f>CF47</f>
        <v>141313138.17417613</v>
      </c>
      <c r="T47" s="158">
        <f>SUM(P47:S47)</f>
        <v>262436050.76149487</v>
      </c>
      <c r="U47" s="162">
        <f>SUM(U33:U45)</f>
        <v>2124903082.1456759</v>
      </c>
      <c r="V47" s="72">
        <f>SUM(V33:V45)</f>
        <v>4720421328.9319582</v>
      </c>
      <c r="W47" s="89">
        <f>SUM(W33:W45)</f>
        <v>10038990148.15943</v>
      </c>
      <c r="X47" s="178"/>
      <c r="Y47" s="509">
        <f>SUM(Y33:Y46)</f>
        <v>1083618.2</v>
      </c>
      <c r="Z47" s="77">
        <f>SUM(Z33:Z46)</f>
        <v>43027.45214073846</v>
      </c>
      <c r="AA47" s="77">
        <f>SUM(AA33:AA46)</f>
        <v>43027.45214073846</v>
      </c>
      <c r="AB47" s="77">
        <f>SUM(AB33:AB46)</f>
        <v>43027.45214073846</v>
      </c>
      <c r="AC47" s="72">
        <f>SUM(Z47:AB47)</f>
        <v>129082.35642221538</v>
      </c>
      <c r="AD47" s="72"/>
      <c r="AE47" s="77">
        <f>SUM(AE33:AE46)</f>
        <v>53722.856808195742</v>
      </c>
      <c r="AF47" s="77">
        <f>SUM(AF33:AF46)</f>
        <v>53722.856808195742</v>
      </c>
      <c r="AG47" s="77">
        <f>SUM(AG33:AG46)</f>
        <v>53722.856808195742</v>
      </c>
      <c r="AH47" s="72">
        <f>SUM(AE47:AG47)</f>
        <v>161168.57042458723</v>
      </c>
      <c r="AI47" s="72"/>
      <c r="AJ47" s="77">
        <f>SUM(AJ33:AJ46)</f>
        <v>60251.734076861219</v>
      </c>
      <c r="AK47" s="77">
        <f>SUM(AK33:AK46)</f>
        <v>60251.734076861219</v>
      </c>
      <c r="AL47" s="77">
        <f>SUM(AL33:AL46)</f>
        <v>60251.734076861219</v>
      </c>
      <c r="AM47" s="72">
        <f>SUM(AJ47:AL47)</f>
        <v>180755.20223058364</v>
      </c>
      <c r="AN47" s="72"/>
      <c r="AO47" s="77">
        <f>SUM(AO33:AO46)</f>
        <v>93128.027316514926</v>
      </c>
      <c r="AP47" s="77">
        <f>SUM(AP33:AP46)</f>
        <v>93128.027316514926</v>
      </c>
      <c r="AQ47" s="77">
        <f>SUM(AQ33:AQ46)</f>
        <v>93128.027316514926</v>
      </c>
      <c r="AR47" s="72">
        <f>SUM(AO47:AQ47)</f>
        <v>279384.08194954478</v>
      </c>
      <c r="AS47" s="72"/>
      <c r="AT47" s="77">
        <f>SUM(AT33:AT46)</f>
        <v>204685.08422304684</v>
      </c>
      <c r="AU47" s="77">
        <f>SUM(AU33:AU46)</f>
        <v>204685.08422304684</v>
      </c>
      <c r="AV47" s="77">
        <f>SUM(AV33:AV46)</f>
        <v>204685.08422304684</v>
      </c>
      <c r="AW47" s="72">
        <f>SUM(AT47:AV47)</f>
        <v>614055.25266914046</v>
      </c>
      <c r="AX47" s="72"/>
      <c r="AY47" s="77">
        <f>SUM(AY33:AY46)</f>
        <v>467500.10704009328</v>
      </c>
      <c r="AZ47" s="77">
        <f>SUM(AZ33:AZ46)</f>
        <v>467500.10704009328</v>
      </c>
      <c r="BA47" s="77">
        <f>SUM(BA33:BA46)</f>
        <v>467500.10704009328</v>
      </c>
      <c r="BB47" s="72">
        <f>SUM(AY47:BA47)</f>
        <v>1402500.3211202798</v>
      </c>
      <c r="BC47" s="72"/>
      <c r="BD47" s="77">
        <f>SUM(BD33:BD46)</f>
        <v>1079348.7759416625</v>
      </c>
      <c r="BE47" s="77">
        <f>SUM(BE33:BE46)</f>
        <v>1079348.7759416625</v>
      </c>
      <c r="BF47" s="77">
        <f>SUM(BF33:BF46)</f>
        <v>1079348.7759416625</v>
      </c>
      <c r="BG47" s="72">
        <f>SUM(BD47:BF47)</f>
        <v>3238046.3278249875</v>
      </c>
      <c r="BH47" s="72"/>
      <c r="BI47" s="77">
        <f>SUM(BI33:BI46)</f>
        <v>2389761.7092955736</v>
      </c>
      <c r="BJ47" s="77">
        <f>SUM(BJ33:BJ46)</f>
        <v>2389761.7092955736</v>
      </c>
      <c r="BK47" s="77">
        <f>SUM(BK33:BK46)</f>
        <v>2389761.7092955736</v>
      </c>
      <c r="BL47" s="72">
        <f>SUM(BI47:BK47)</f>
        <v>7169285.1278867209</v>
      </c>
      <c r="BM47" s="72"/>
      <c r="BN47" s="77">
        <f>SUM(BN33:BN46)</f>
        <v>5210953.4582878528</v>
      </c>
      <c r="BO47" s="77">
        <f>SUM(BO33:BO46)</f>
        <v>5210953.4582878528</v>
      </c>
      <c r="BP47" s="77">
        <f>SUM(BP33:BP46)</f>
        <v>5210953.4582878528</v>
      </c>
      <c r="BQ47" s="72">
        <f>SUM(BN47:BP47)</f>
        <v>15632860.374863558</v>
      </c>
      <c r="BR47" s="72"/>
      <c r="BS47" s="77">
        <f>SUM(BS33:BS46)</f>
        <v>11325165.7715645</v>
      </c>
      <c r="BT47" s="77">
        <f>SUM(BT33:BT46)</f>
        <v>11325165.7715645</v>
      </c>
      <c r="BU47" s="77">
        <f>SUM(BU33:BU46)</f>
        <v>11325165.7715645</v>
      </c>
      <c r="BV47" s="72">
        <f>SUM(BS47:BU47)</f>
        <v>33975497.314693503</v>
      </c>
      <c r="BW47" s="72"/>
      <c r="BX47" s="77">
        <f>SUM(BX33:BX46)</f>
        <v>23838184.965920564</v>
      </c>
      <c r="BY47" s="77">
        <f>SUM(BY33:BY46)</f>
        <v>23838184.965920564</v>
      </c>
      <c r="BZ47" s="77">
        <f>SUM(BZ33:BZ46)</f>
        <v>23838184.965920564</v>
      </c>
      <c r="CA47" s="72">
        <f>SUM(BX47:BZ47)</f>
        <v>71514554.897761688</v>
      </c>
      <c r="CB47" s="72"/>
      <c r="CC47" s="77">
        <f>SUM(CC33:CC46)</f>
        <v>47104379.391392045</v>
      </c>
      <c r="CD47" s="77">
        <f>SUM(CD33:CD46)</f>
        <v>47104379.391392045</v>
      </c>
      <c r="CE47" s="77">
        <f>SUM(CE33:CE46)</f>
        <v>47104379.391392045</v>
      </c>
      <c r="CF47" s="72">
        <f>SUM(CC47:CE47)</f>
        <v>141313138.17417613</v>
      </c>
      <c r="CG47" s="89"/>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3"/>
      <c r="B48" s="40"/>
      <c r="C48" s="108"/>
      <c r="D48" s="40"/>
      <c r="E48" s="42"/>
      <c r="F48" s="106"/>
      <c r="G48" s="67"/>
      <c r="H48" s="67"/>
      <c r="I48" s="67"/>
      <c r="J48" s="67"/>
      <c r="K48" s="67"/>
      <c r="L48" s="67"/>
      <c r="M48" s="67"/>
      <c r="N48" s="67"/>
      <c r="O48" s="67"/>
      <c r="P48" s="67"/>
      <c r="Q48" s="67"/>
      <c r="R48" s="67"/>
      <c r="S48" s="67"/>
      <c r="T48" s="159"/>
      <c r="U48" s="163"/>
      <c r="V48" s="67"/>
      <c r="W48" s="68"/>
      <c r="X48" s="167"/>
      <c r="Y48" s="78"/>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80"/>
      <c r="CG48" s="81"/>
    </row>
    <row r="49" spans="1:175" s="9" customFormat="1" ht="15" customHeight="1" thickBot="1" x14ac:dyDescent="0.2">
      <c r="A49" s="132" t="s">
        <v>208</v>
      </c>
      <c r="B49" s="311"/>
      <c r="C49" s="312"/>
      <c r="D49" s="311"/>
      <c r="E49" s="313"/>
      <c r="F49" s="107">
        <f>AC49</f>
        <v>-129082.35642221538</v>
      </c>
      <c r="G49" s="97">
        <f>AH49</f>
        <v>-161168.57042458723</v>
      </c>
      <c r="H49" s="97">
        <f>AM49</f>
        <v>-143788.15290328368</v>
      </c>
      <c r="I49" s="97">
        <f>AR49</f>
        <v>-74162.487057988968</v>
      </c>
      <c r="J49" s="83">
        <f>SUM(F49:I49)</f>
        <v>-508201.56680807529</v>
      </c>
      <c r="K49" s="97">
        <f>AW49</f>
        <v>46267.552437459235</v>
      </c>
      <c r="L49" s="95">
        <f>BB49</f>
        <v>360794.72147714719</v>
      </c>
      <c r="M49" s="95">
        <f>BG49</f>
        <v>1089567.2825915478</v>
      </c>
      <c r="N49" s="95">
        <f>BL49</f>
        <v>3013315.0463497331</v>
      </c>
      <c r="O49" s="83">
        <f>SUM(K49:N49)</f>
        <v>4509944.6028558873</v>
      </c>
      <c r="P49" s="95">
        <f>BQ49</f>
        <v>8815536.7709265091</v>
      </c>
      <c r="Q49" s="95">
        <f>BV49</f>
        <v>22160511.041689545</v>
      </c>
      <c r="R49" s="95">
        <f>CA49</f>
        <v>57516672.303470179</v>
      </c>
      <c r="S49" s="95">
        <f>CF49</f>
        <v>157288466.3281785</v>
      </c>
      <c r="T49" s="308">
        <f>SUM(P49:S49)</f>
        <v>245781186.44426471</v>
      </c>
      <c r="U49" s="309">
        <f>SUM(U30-U47)</f>
        <v>1464392833.7492249</v>
      </c>
      <c r="V49" s="83">
        <f>SUM(V30-V47)</f>
        <v>6363103561.2402906</v>
      </c>
      <c r="W49" s="310">
        <f>SUM(W30-W47)</f>
        <v>15591069350.248365</v>
      </c>
      <c r="X49" s="179"/>
      <c r="Y49" s="510">
        <f>SUM(Y30-Y47)</f>
        <v>-1083618.2</v>
      </c>
      <c r="Z49" s="96">
        <f>Z30-Z47</f>
        <v>-43027.45214073846</v>
      </c>
      <c r="AA49" s="96">
        <f>AA30-AA47</f>
        <v>-43027.45214073846</v>
      </c>
      <c r="AB49" s="96">
        <f>AB30-AB47</f>
        <v>-43027.45214073846</v>
      </c>
      <c r="AC49" s="82">
        <f>AC30-AC47</f>
        <v>-129082.35642221538</v>
      </c>
      <c r="AD49" s="82"/>
      <c r="AE49" s="96">
        <f>AE30-AE47</f>
        <v>-53722.856808195742</v>
      </c>
      <c r="AF49" s="96">
        <f>AF30-AF47</f>
        <v>-53722.856808195742</v>
      </c>
      <c r="AG49" s="96">
        <f>AG30-AG47</f>
        <v>-53722.856808195742</v>
      </c>
      <c r="AH49" s="82">
        <f>AH30-AH47</f>
        <v>-161168.57042458723</v>
      </c>
      <c r="AI49" s="82"/>
      <c r="AJ49" s="96">
        <f>AJ30-AJ47</f>
        <v>-53395.500298937841</v>
      </c>
      <c r="AK49" s="96">
        <f>AK30-AK47</f>
        <v>-48262.429546012572</v>
      </c>
      <c r="AL49" s="96">
        <f>AL30-AL47</f>
        <v>-42130.223058333286</v>
      </c>
      <c r="AM49" s="82">
        <f>AM30-AM47</f>
        <v>-143788.15290328368</v>
      </c>
      <c r="AN49" s="82"/>
      <c r="AO49" s="96">
        <f>AO30-AO47</f>
        <v>-43819.740734850173</v>
      </c>
      <c r="AP49" s="96">
        <f>AP30-AP47</f>
        <v>-25811.333800202585</v>
      </c>
      <c r="AQ49" s="96">
        <f>AQ30-AQ47</f>
        <v>-4531.4125229362107</v>
      </c>
      <c r="AR49" s="82">
        <f>AR30-AR47</f>
        <v>-74162.487057988968</v>
      </c>
      <c r="AS49" s="82"/>
      <c r="AT49" s="96">
        <f>AT30-AT47</f>
        <v>-36519.820990549779</v>
      </c>
      <c r="AU49" s="96">
        <f>AU30-AU47</f>
        <v>12590.707659776817</v>
      </c>
      <c r="AV49" s="96">
        <f>AV30-AV47</f>
        <v>70196.665768232138</v>
      </c>
      <c r="AW49" s="82">
        <f>AW30-AW47</f>
        <v>46267.552437459235</v>
      </c>
      <c r="AX49" s="82"/>
      <c r="AY49" s="96">
        <f>AY30-AY47</f>
        <v>-9065.6279580143746</v>
      </c>
      <c r="AZ49" s="96">
        <f>AZ30-AZ47</f>
        <v>113639.9631201349</v>
      </c>
      <c r="BA49" s="96">
        <f>BA30-BA47</f>
        <v>256220.38631502655</v>
      </c>
      <c r="BB49" s="82">
        <f>BB30-BB47</f>
        <v>360794.72147714719</v>
      </c>
      <c r="BC49" s="82"/>
      <c r="BD49" s="96">
        <f>BD30-BD47</f>
        <v>57301.814820598345</v>
      </c>
      <c r="BE49" s="96">
        <f>BE30-BE47</f>
        <v>348535.4992570777</v>
      </c>
      <c r="BF49" s="96">
        <f>BF30-BF47</f>
        <v>683729.96851387178</v>
      </c>
      <c r="BG49" s="82">
        <f>BG30-BG47</f>
        <v>1089567.2825915478</v>
      </c>
      <c r="BH49" s="82"/>
      <c r="BI49" s="96">
        <f>BI30-BI47</f>
        <v>290640.69566016644</v>
      </c>
      <c r="BJ49" s="96">
        <f>BJ30-BJ47</f>
        <v>972633.94582285453</v>
      </c>
      <c r="BK49" s="96">
        <f>BK30-BK47</f>
        <v>1750040.4048667131</v>
      </c>
      <c r="BL49" s="82">
        <f>BL30-BL47</f>
        <v>3013315.0463497331</v>
      </c>
      <c r="BM49" s="82"/>
      <c r="BN49" s="96">
        <f>BN30-BN47</f>
        <v>1230751.073072196</v>
      </c>
      <c r="BO49" s="96">
        <f>BO30-BO47</f>
        <v>2868196.4080312382</v>
      </c>
      <c r="BP49" s="96">
        <f>BP30-BP47</f>
        <v>4716589.2898230748</v>
      </c>
      <c r="BQ49" s="82">
        <f>BQ30-BQ47</f>
        <v>8815536.7709265091</v>
      </c>
      <c r="BR49" s="82"/>
      <c r="BS49" s="96">
        <f>BS30-BS47</f>
        <v>3469240.0583184771</v>
      </c>
      <c r="BT49" s="96">
        <f>BT30-BT47</f>
        <v>7238945.7580603305</v>
      </c>
      <c r="BU49" s="96">
        <f>BU30-BU47</f>
        <v>11452325.225310741</v>
      </c>
      <c r="BV49" s="82">
        <f>BV30-BV47</f>
        <v>22160511.041689545</v>
      </c>
      <c r="BW49" s="82"/>
      <c r="BX49" s="96">
        <f>BX30-BX47</f>
        <v>9933494.9000719078</v>
      </c>
      <c r="BY49" s="96">
        <f>BY30-BY47</f>
        <v>18841297.950502101</v>
      </c>
      <c r="BZ49" s="96">
        <f>BZ30-BZ47</f>
        <v>28741879.452896167</v>
      </c>
      <c r="CA49" s="82">
        <f>CA30-CA47</f>
        <v>57516672.303470179</v>
      </c>
      <c r="CB49" s="82"/>
      <c r="CC49" s="96">
        <f>CC30-CC47</f>
        <v>30562343.76466728</v>
      </c>
      <c r="CD49" s="96">
        <f>CD30-CD47</f>
        <v>51656283.588249333</v>
      </c>
      <c r="CE49" s="96">
        <f>CE30-CE47</f>
        <v>75069838.975261867</v>
      </c>
      <c r="CF49" s="83">
        <f>CF30-CF47</f>
        <v>157288466.3281785</v>
      </c>
      <c r="CG49" s="310"/>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15"/>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58"/>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15"/>
      <c r="B54" s="200"/>
      <c r="C54" s="200"/>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53" t="s">
        <v>52</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48"/>
      <c r="E56" s="17"/>
      <c r="F56" s="23"/>
      <c r="G56" s="23"/>
      <c r="H56" s="23"/>
      <c r="I56" s="23"/>
      <c r="J56" s="353" t="s">
        <v>52</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53" t="s">
        <v>52</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53"/>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53"/>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59"/>
      <c r="C60" s="12"/>
      <c r="D60" s="19"/>
      <c r="E60" s="12"/>
      <c r="F60" s="23"/>
      <c r="G60" s="23"/>
      <c r="H60" s="23"/>
      <c r="I60" s="23"/>
      <c r="J60" s="353"/>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59"/>
      <c r="C61" s="12"/>
      <c r="D61" s="19"/>
      <c r="E61" s="12"/>
      <c r="F61" s="23"/>
      <c r="G61" s="23"/>
      <c r="H61" s="23"/>
      <c r="I61" s="23"/>
      <c r="J61" s="353"/>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53" t="s">
        <v>52</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51"/>
      <c r="G63" s="351"/>
      <c r="H63" s="351"/>
      <c r="I63" s="351"/>
      <c r="J63" s="352" t="s">
        <v>52</v>
      </c>
      <c r="K63" s="26"/>
      <c r="L63" s="26"/>
      <c r="M63" s="26"/>
      <c r="N63" s="26"/>
      <c r="O63" s="26"/>
      <c r="P63" s="26"/>
      <c r="Q63" s="26"/>
      <c r="R63" s="26"/>
      <c r="S63" s="26"/>
      <c r="T63" s="26"/>
      <c r="U63" s="26"/>
      <c r="V63" s="26"/>
      <c r="W63" s="26"/>
      <c r="X63" s="26"/>
      <c r="Y63" s="26"/>
      <c r="Z63" s="12"/>
      <c r="AA63" s="13"/>
      <c r="AB63" s="13"/>
      <c r="AC63" s="13"/>
      <c r="AD63" s="111"/>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59"/>
      <c r="C64" s="12"/>
      <c r="D64" s="19"/>
      <c r="E64" s="12"/>
      <c r="F64" s="351"/>
      <c r="G64" s="351"/>
      <c r="H64" s="351"/>
      <c r="I64" s="351"/>
      <c r="J64" s="352"/>
      <c r="K64" s="26"/>
      <c r="L64" s="26"/>
      <c r="M64" s="26"/>
      <c r="N64" s="26"/>
      <c r="O64" s="26"/>
      <c r="P64" s="26"/>
      <c r="Q64" s="26"/>
      <c r="R64" s="26"/>
      <c r="S64" s="26"/>
      <c r="T64" s="26"/>
      <c r="U64" s="26"/>
      <c r="V64" s="26"/>
      <c r="W64" s="26"/>
      <c r="X64" s="26"/>
      <c r="Y64" s="26"/>
      <c r="Z64" s="12"/>
      <c r="AA64" s="13"/>
      <c r="AB64" s="13"/>
      <c r="AC64" s="13"/>
      <c r="AD64" s="111"/>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54" t="s">
        <v>52</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53" t="s">
        <v>52</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53" t="s">
        <v>52</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59"/>
      <c r="C68" s="12"/>
      <c r="D68" s="12"/>
      <c r="E68" s="12"/>
      <c r="F68" s="23"/>
      <c r="G68" s="23"/>
      <c r="H68" s="23"/>
      <c r="I68" s="23"/>
      <c r="J68" s="353"/>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52"/>
      <c r="K69" s="26"/>
      <c r="L69" s="26"/>
      <c r="M69" s="26"/>
      <c r="N69" s="26"/>
      <c r="O69" s="26"/>
      <c r="P69" s="26"/>
      <c r="Q69" s="26"/>
      <c r="R69" s="26"/>
      <c r="S69" s="26"/>
      <c r="T69" s="26"/>
      <c r="U69" s="26"/>
      <c r="V69" s="26"/>
      <c r="W69" s="26"/>
      <c r="X69" s="26"/>
      <c r="Y69" s="26"/>
      <c r="Z69" s="12"/>
      <c r="AA69" s="13"/>
      <c r="AB69" s="13"/>
      <c r="AC69" s="13"/>
      <c r="AD69" s="111"/>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52"/>
      <c r="K70" s="26"/>
      <c r="L70" s="26"/>
      <c r="M70" s="26"/>
      <c r="N70" s="26"/>
      <c r="O70" s="26"/>
      <c r="P70" s="26"/>
      <c r="Q70" s="26"/>
      <c r="R70" s="26"/>
      <c r="S70" s="26"/>
      <c r="T70" s="26"/>
      <c r="U70" s="26"/>
      <c r="V70" s="26"/>
      <c r="W70" s="26"/>
      <c r="X70" s="26"/>
      <c r="Y70" s="26"/>
      <c r="Z70" s="12"/>
      <c r="AA70" s="13"/>
      <c r="AB70" s="13"/>
      <c r="AC70" s="13"/>
      <c r="AD70" s="111"/>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199"/>
      <c r="B71" s="12"/>
      <c r="C71" s="12"/>
      <c r="D71" s="12"/>
      <c r="E71" s="12"/>
      <c r="F71" s="23"/>
      <c r="G71" s="23"/>
      <c r="H71" s="23"/>
      <c r="I71" s="23"/>
      <c r="J71" s="353" t="s">
        <v>52</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01"/>
      <c r="B72" s="14"/>
      <c r="C72" s="14"/>
      <c r="F72" s="27"/>
      <c r="G72" s="27"/>
      <c r="H72" s="27"/>
      <c r="I72" s="27"/>
      <c r="J72" s="354" t="s">
        <v>52</v>
      </c>
      <c r="K72" s="27"/>
      <c r="L72" s="27"/>
      <c r="M72" s="27"/>
      <c r="N72" s="27"/>
      <c r="O72" s="27"/>
      <c r="P72" s="27"/>
      <c r="Q72" s="27"/>
      <c r="R72" s="27"/>
      <c r="S72" s="27"/>
      <c r="T72" s="27"/>
      <c r="U72" s="27"/>
      <c r="V72" s="27"/>
      <c r="W72" s="27"/>
      <c r="X72" s="27"/>
      <c r="Y72" s="27"/>
    </row>
    <row r="73" spans="1:85" x14ac:dyDescent="0.2">
      <c r="A73" s="12"/>
      <c r="B73" s="12"/>
      <c r="C73" s="200"/>
      <c r="D73" s="8"/>
      <c r="E73" s="8"/>
      <c r="F73" s="27"/>
      <c r="G73" s="27"/>
      <c r="H73" s="27"/>
      <c r="I73" s="27"/>
      <c r="J73" s="354" t="s">
        <v>52</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54" t="s">
        <v>52</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54"/>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53" t="s">
        <v>52</v>
      </c>
      <c r="K76" s="28"/>
      <c r="L76" s="28"/>
      <c r="M76" s="28"/>
      <c r="N76" s="28"/>
      <c r="O76" s="28"/>
      <c r="P76" s="28"/>
      <c r="Q76" s="28"/>
      <c r="R76" s="28"/>
      <c r="S76" s="28"/>
      <c r="T76" s="28"/>
      <c r="U76" s="28"/>
      <c r="V76" s="28"/>
      <c r="W76" s="28"/>
      <c r="X76" s="28"/>
      <c r="Y76" s="28"/>
    </row>
    <row r="77" spans="1:85" s="9" customFormat="1" ht="11.25" customHeight="1" x14ac:dyDescent="0.15">
      <c r="A77" s="199"/>
      <c r="B77" s="12"/>
      <c r="C77" s="12"/>
      <c r="D77" s="12"/>
      <c r="E77" s="12"/>
      <c r="F77" s="24"/>
      <c r="G77" s="24"/>
      <c r="H77" s="24"/>
      <c r="I77" s="24"/>
      <c r="J77" s="353" t="s">
        <v>52</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52" t="s">
        <v>52</v>
      </c>
      <c r="K78" s="27"/>
      <c r="L78" s="27"/>
      <c r="M78" s="27"/>
      <c r="N78" s="27"/>
      <c r="O78" s="27"/>
      <c r="P78" s="27"/>
      <c r="Q78" s="27"/>
      <c r="R78" s="27"/>
      <c r="S78" s="27"/>
      <c r="T78" s="27"/>
      <c r="U78" s="27"/>
      <c r="V78" s="27"/>
      <c r="W78" s="27"/>
      <c r="X78" s="27"/>
      <c r="Y78" s="27"/>
    </row>
    <row r="79" spans="1:85" x14ac:dyDescent="0.2">
      <c r="F79" s="27"/>
      <c r="G79" s="27"/>
      <c r="H79" s="27"/>
      <c r="I79" s="27"/>
      <c r="J79" s="353" t="s">
        <v>52</v>
      </c>
      <c r="K79" s="27"/>
      <c r="L79" s="27"/>
      <c r="M79" s="27"/>
      <c r="N79" s="27"/>
      <c r="O79" s="27"/>
      <c r="P79" s="27"/>
      <c r="Q79" s="27"/>
      <c r="R79" s="27"/>
      <c r="S79" s="27"/>
      <c r="T79" s="27"/>
      <c r="U79" s="27"/>
      <c r="V79" s="27"/>
      <c r="W79" s="27"/>
      <c r="X79" s="27"/>
      <c r="Y79" s="27"/>
    </row>
    <row r="80" spans="1:85" x14ac:dyDescent="0.2">
      <c r="F80" s="29"/>
      <c r="G80" s="29"/>
      <c r="H80" s="29"/>
      <c r="I80" s="29"/>
      <c r="J80" s="353" t="s">
        <v>52</v>
      </c>
      <c r="K80" s="29"/>
      <c r="L80" s="29"/>
      <c r="M80" s="29"/>
      <c r="N80" s="29"/>
      <c r="O80" s="29"/>
      <c r="P80" s="29"/>
      <c r="Q80" s="29"/>
      <c r="R80" s="29"/>
      <c r="S80" s="29"/>
      <c r="T80" s="29"/>
      <c r="U80" s="29"/>
      <c r="V80" s="29"/>
      <c r="W80" s="29"/>
      <c r="X80" s="29"/>
      <c r="Y80" s="29"/>
    </row>
    <row r="81" spans="1:25" x14ac:dyDescent="0.2">
      <c r="F81" s="27"/>
      <c r="G81" s="27"/>
      <c r="H81" s="27"/>
      <c r="I81" s="27"/>
      <c r="J81" s="353" t="s">
        <v>52</v>
      </c>
      <c r="K81" s="27"/>
      <c r="L81" s="27"/>
      <c r="M81" s="27"/>
      <c r="N81" s="27"/>
      <c r="O81" s="27"/>
      <c r="P81" s="27"/>
      <c r="Q81" s="27"/>
      <c r="R81" s="27"/>
      <c r="S81" s="27"/>
      <c r="T81" s="27"/>
      <c r="U81" s="27"/>
      <c r="V81" s="27"/>
      <c r="W81" s="27"/>
      <c r="X81" s="27"/>
      <c r="Y81" s="27"/>
    </row>
    <row r="82" spans="1:25" x14ac:dyDescent="0.2">
      <c r="J82" s="353" t="s">
        <v>52</v>
      </c>
    </row>
    <row r="83" spans="1:25" x14ac:dyDescent="0.2">
      <c r="J83" s="353" t="s">
        <v>52</v>
      </c>
    </row>
    <row r="84" spans="1:25" x14ac:dyDescent="0.2">
      <c r="C84" s="3" t="s">
        <v>225</v>
      </c>
      <c r="J84" s="352" t="s">
        <v>52</v>
      </c>
      <c r="M84" s="3" t="s">
        <v>226</v>
      </c>
    </row>
    <row r="85" spans="1:25" x14ac:dyDescent="0.2">
      <c r="J85" s="353" t="s">
        <v>52</v>
      </c>
    </row>
    <row r="86" spans="1:25" x14ac:dyDescent="0.2">
      <c r="J86" s="353" t="s">
        <v>52</v>
      </c>
    </row>
    <row r="87" spans="1:25" x14ac:dyDescent="0.2">
      <c r="J87" s="353" t="s">
        <v>52</v>
      </c>
    </row>
    <row r="88" spans="1:25" x14ac:dyDescent="0.2">
      <c r="A88" s="3"/>
      <c r="D88" s="3"/>
      <c r="E88" s="3"/>
      <c r="J88" s="353" t="s">
        <v>52</v>
      </c>
    </row>
    <row r="89" spans="1:25" x14ac:dyDescent="0.2">
      <c r="J89" s="353" t="s">
        <v>52</v>
      </c>
    </row>
    <row r="90" spans="1:25" x14ac:dyDescent="0.2">
      <c r="J90" s="353" t="s">
        <v>52</v>
      </c>
    </row>
    <row r="91" spans="1:25" x14ac:dyDescent="0.2">
      <c r="J91" s="353" t="s">
        <v>52</v>
      </c>
    </row>
    <row r="92" spans="1:25" x14ac:dyDescent="0.2">
      <c r="J92" s="353" t="s">
        <v>52</v>
      </c>
    </row>
    <row r="93" spans="1:25" x14ac:dyDescent="0.2">
      <c r="J93" s="353" t="s">
        <v>52</v>
      </c>
    </row>
    <row r="94" spans="1:25" x14ac:dyDescent="0.2">
      <c r="F94" s="3"/>
      <c r="G94" s="3"/>
      <c r="H94" s="3"/>
      <c r="I94" s="3"/>
      <c r="J94" s="354" t="s">
        <v>52</v>
      </c>
      <c r="K94" s="3"/>
      <c r="L94" s="3"/>
      <c r="M94" s="3"/>
      <c r="N94" s="3"/>
      <c r="O94" s="3"/>
      <c r="P94" s="3"/>
      <c r="Q94" s="3"/>
      <c r="R94" s="3"/>
      <c r="S94" s="3"/>
      <c r="T94" s="3"/>
      <c r="U94" s="3"/>
      <c r="V94" s="3"/>
      <c r="W94" s="3"/>
      <c r="X94" s="4"/>
      <c r="Y94" s="3"/>
    </row>
    <row r="95" spans="1:25" x14ac:dyDescent="0.2">
      <c r="J95" s="354" t="s">
        <v>52</v>
      </c>
    </row>
    <row r="96" spans="1:25" x14ac:dyDescent="0.2">
      <c r="J96" s="354"/>
    </row>
    <row r="97" spans="3:28" x14ac:dyDescent="0.2">
      <c r="J97" s="354"/>
    </row>
    <row r="104" spans="3:28" ht="15" x14ac:dyDescent="0.25">
      <c r="D104" s="133"/>
      <c r="E104" s="133"/>
      <c r="F104" s="134"/>
      <c r="G104" s="135"/>
      <c r="H104" s="134"/>
      <c r="I104" s="133"/>
      <c r="J104" s="134"/>
      <c r="K104" s="133"/>
      <c r="L104" s="134"/>
      <c r="M104" s="133"/>
      <c r="N104" s="134"/>
      <c r="O104" s="133"/>
      <c r="P104" s="134"/>
      <c r="Q104"/>
      <c r="R104"/>
      <c r="S104"/>
      <c r="T104"/>
      <c r="U104"/>
      <c r="V104"/>
      <c r="W104"/>
      <c r="X104" s="166"/>
      <c r="Y104"/>
      <c r="Z104"/>
      <c r="AA104"/>
      <c r="AB104"/>
    </row>
    <row r="112" spans="3:28" x14ac:dyDescent="0.2">
      <c r="C112" s="3" t="s">
        <v>233</v>
      </c>
    </row>
    <row r="178" spans="12:12" x14ac:dyDescent="0.2">
      <c r="L178" s="3" t="s">
        <v>234</v>
      </c>
    </row>
  </sheetData>
  <mergeCells count="12">
    <mergeCell ref="U2:W2"/>
    <mergeCell ref="D4:E4"/>
    <mergeCell ref="B29:C29"/>
    <mergeCell ref="D29:E29"/>
    <mergeCell ref="A1:A2"/>
    <mergeCell ref="B1:C1"/>
    <mergeCell ref="D1:E1"/>
    <mergeCell ref="F1:I1"/>
    <mergeCell ref="K1:N1"/>
    <mergeCell ref="P1:S1"/>
    <mergeCell ref="B2:C2"/>
    <mergeCell ref="D2:E2"/>
  </mergeCells>
  <conditionalFormatting sqref="F49:I49 K49:N49 P49:S49 Z49:AB49 AE49:AG49 AJ49:AL49 AO49:AQ49 AY49:BA49 BD49:BF49 BI49:BK49 BN49:BP49 BS49:BU49 BX49:BZ49 CC49:CE49">
    <cfRule type="cellIs" dxfId="5" priority="5" operator="lessThan">
      <formula>0</formula>
    </cfRule>
    <cfRule type="cellIs" dxfId="4" priority="6" operator="greaterThan">
      <formula>0</formula>
    </cfRule>
  </conditionalFormatting>
  <conditionalFormatting sqref="F49:I49 K49:N49 P49:S49 Z49:AB49 AE49:AG49 AJ49:AL49 AO49:AQ49 AY49:BA49 BD49:BF49 BI49:BK49 BN49:BP49 BS49:BU49 BX49:BZ49 CC49:CE49 AT49:AV49">
    <cfRule type="cellIs" dxfId="3" priority="3" operator="lessThan">
      <formula>0</formula>
    </cfRule>
    <cfRule type="cellIs" dxfId="2" priority="4" operator="greaterThan">
      <formula>0</formula>
    </cfRule>
  </conditionalFormatting>
  <conditionalFormatting sqref="U49:W49">
    <cfRule type="cellIs" dxfId="1" priority="1" operator="lessThan">
      <formula>0</formula>
    </cfRule>
    <cfRule type="cellIs" dxfId="0"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T55"/>
  <sheetViews>
    <sheetView zoomScale="120" zoomScaleNormal="120" workbookViewId="0">
      <selection activeCell="B59" sqref="B59"/>
    </sheetView>
  </sheetViews>
  <sheetFormatPr baseColWidth="10" defaultRowHeight="15.75" customHeight="1" x14ac:dyDescent="0.2"/>
  <cols>
    <col min="1" max="1" width="3.7109375" customWidth="1"/>
    <col min="2" max="2" width="68.28515625" style="1" customWidth="1"/>
    <col min="3" max="4" width="8.140625" style="3" customWidth="1"/>
    <col min="5" max="6" width="8.140625" style="1" customWidth="1"/>
    <col min="7" max="10" width="9.5703125" style="1" customWidth="1"/>
    <col min="11" max="21" width="9.85546875" style="1" customWidth="1"/>
    <col min="22" max="24" width="11.140625" style="1" customWidth="1"/>
    <col min="25" max="25" width="2.140625" style="6" customWidth="1"/>
    <col min="26" max="26" width="10.7109375" style="1" customWidth="1"/>
    <col min="27" max="41" width="10.7109375" style="2" customWidth="1"/>
    <col min="42" max="46" width="10.7109375" customWidth="1"/>
    <col min="47" max="61" width="10.7109375" style="2" customWidth="1"/>
    <col min="62" max="66" width="10.7109375" customWidth="1"/>
    <col min="67" max="81" width="10.7109375" style="2" customWidth="1"/>
    <col min="82" max="86" width="10.7109375" customWidth="1"/>
  </cols>
  <sheetData>
    <row r="1" spans="2:86" ht="15.75" customHeight="1" x14ac:dyDescent="0.2">
      <c r="B1" s="154"/>
      <c r="C1" s="380"/>
      <c r="D1" s="380"/>
      <c r="E1" s="154"/>
      <c r="F1" s="154"/>
      <c r="G1" s="154"/>
      <c r="H1" s="154"/>
      <c r="I1" s="154"/>
      <c r="J1" s="154"/>
    </row>
    <row r="2" spans="2:86" s="9" customFormat="1" ht="15.75" customHeight="1" x14ac:dyDescent="0.15">
      <c r="B2" s="515" t="s">
        <v>126</v>
      </c>
      <c r="C2" s="382"/>
      <c r="D2" s="382"/>
      <c r="E2" s="382"/>
      <c r="F2" s="382"/>
      <c r="G2" s="383"/>
      <c r="H2" s="383"/>
      <c r="I2" s="383"/>
      <c r="J2" s="383"/>
      <c r="K2" s="26"/>
      <c r="L2" s="26"/>
      <c r="M2" s="26"/>
      <c r="N2" s="26"/>
      <c r="O2" s="26"/>
      <c r="P2" s="26"/>
      <c r="Q2" s="26"/>
      <c r="R2" s="26"/>
      <c r="S2" s="26"/>
      <c r="T2" s="26"/>
      <c r="U2" s="26"/>
      <c r="V2" s="26"/>
      <c r="W2" s="26"/>
      <c r="X2" s="26"/>
      <c r="Y2" s="26"/>
      <c r="Z2" s="26"/>
      <c r="AA2" s="12"/>
      <c r="AB2" s="13"/>
      <c r="AC2" s="13"/>
      <c r="AD2" s="13"/>
      <c r="AE2" s="13"/>
      <c r="AF2" s="13"/>
      <c r="AG2" s="13"/>
      <c r="AH2" s="13"/>
      <c r="AI2" s="13"/>
      <c r="AJ2" s="13"/>
      <c r="AK2" s="13"/>
      <c r="AL2" s="13"/>
      <c r="AM2" s="13"/>
      <c r="AN2" s="14"/>
      <c r="AO2" s="14"/>
      <c r="AP2" s="14"/>
      <c r="AQ2" s="14"/>
      <c r="AR2" s="14"/>
      <c r="AS2" s="14"/>
      <c r="AT2" s="14"/>
      <c r="AU2" s="14"/>
      <c r="AV2" s="14"/>
      <c r="AX2" s="15"/>
      <c r="AY2" s="15"/>
      <c r="AZ2" s="14"/>
      <c r="BA2" s="14"/>
      <c r="BB2" s="14"/>
      <c r="BC2" s="14"/>
      <c r="BD2" s="14"/>
      <c r="BE2" s="14"/>
      <c r="BF2" s="14"/>
      <c r="BG2" s="14"/>
      <c r="BH2" s="14"/>
      <c r="BI2" s="14"/>
      <c r="BJ2" s="14"/>
      <c r="BK2" s="14"/>
      <c r="BL2" s="14"/>
      <c r="BM2" s="14"/>
      <c r="BN2" s="14"/>
      <c r="BO2" s="14"/>
      <c r="BP2" s="14"/>
      <c r="BR2" s="15"/>
      <c r="BS2" s="15"/>
      <c r="BT2" s="14"/>
      <c r="BU2" s="14"/>
      <c r="BV2" s="14"/>
      <c r="BW2" s="14"/>
      <c r="BX2" s="14"/>
      <c r="BY2" s="14"/>
      <c r="BZ2" s="14"/>
      <c r="CA2" s="14"/>
      <c r="CB2" s="14"/>
      <c r="CC2" s="14"/>
      <c r="CD2" s="14"/>
      <c r="CE2" s="14"/>
      <c r="CF2" s="14"/>
      <c r="CG2" s="14"/>
      <c r="CH2" s="14"/>
    </row>
    <row r="3" spans="2:86" s="9" customFormat="1" ht="15.75" customHeight="1" x14ac:dyDescent="0.15">
      <c r="B3" s="516" t="s">
        <v>127</v>
      </c>
      <c r="C3" s="382"/>
      <c r="D3" s="382"/>
      <c r="E3" s="382"/>
      <c r="F3" s="382"/>
      <c r="G3" s="383"/>
      <c r="H3" s="383"/>
      <c r="I3" s="383"/>
      <c r="J3" s="383"/>
      <c r="K3" s="26"/>
      <c r="L3" s="26"/>
      <c r="M3" s="26"/>
      <c r="N3" s="26"/>
      <c r="O3" s="26"/>
      <c r="P3" s="26"/>
      <c r="Q3" s="26"/>
      <c r="R3" s="26"/>
      <c r="S3" s="26"/>
      <c r="T3" s="26"/>
      <c r="U3" s="26"/>
      <c r="V3" s="26"/>
      <c r="W3" s="26"/>
      <c r="X3" s="26"/>
      <c r="Y3" s="26"/>
      <c r="Z3" s="26"/>
      <c r="AA3" s="12"/>
      <c r="AB3" s="13"/>
      <c r="AC3" s="13"/>
      <c r="AD3" s="13"/>
      <c r="AE3" s="13"/>
      <c r="AF3" s="13"/>
      <c r="AG3" s="13"/>
      <c r="AH3" s="13"/>
      <c r="AI3" s="13"/>
      <c r="AJ3" s="13"/>
      <c r="AK3" s="13"/>
      <c r="AL3" s="13"/>
      <c r="AM3" s="13"/>
      <c r="AN3" s="14"/>
      <c r="AO3" s="14"/>
      <c r="AP3" s="14"/>
      <c r="AQ3" s="14"/>
      <c r="AR3" s="14"/>
      <c r="AS3" s="14"/>
      <c r="AT3" s="14"/>
      <c r="AU3" s="14"/>
      <c r="AV3" s="14"/>
      <c r="AX3" s="15"/>
      <c r="AY3" s="15"/>
      <c r="AZ3" s="14"/>
      <c r="BA3" s="14"/>
      <c r="BB3" s="14"/>
      <c r="BC3" s="14"/>
      <c r="BD3" s="14"/>
      <c r="BE3" s="14"/>
      <c r="BF3" s="14"/>
      <c r="BG3" s="14"/>
      <c r="BH3" s="14"/>
      <c r="BI3" s="14"/>
      <c r="BJ3" s="14"/>
      <c r="BK3" s="14"/>
      <c r="BL3" s="14"/>
      <c r="BM3" s="14"/>
      <c r="BN3" s="14"/>
      <c r="BO3" s="14"/>
      <c r="BP3" s="14"/>
      <c r="BR3" s="15"/>
      <c r="BS3" s="15"/>
      <c r="BT3" s="14"/>
      <c r="BU3" s="14"/>
      <c r="BV3" s="14"/>
      <c r="BW3" s="14"/>
      <c r="BX3" s="14"/>
      <c r="BY3" s="14"/>
      <c r="BZ3" s="14"/>
      <c r="CA3" s="14"/>
      <c r="CB3" s="14"/>
      <c r="CC3" s="14"/>
      <c r="CD3" s="14"/>
      <c r="CE3" s="14"/>
      <c r="CF3" s="14"/>
      <c r="CG3" s="14"/>
      <c r="CH3" s="14"/>
    </row>
    <row r="4" spans="2:86" s="9" customFormat="1" ht="15.75" customHeight="1" x14ac:dyDescent="0.15">
      <c r="B4" s="384"/>
      <c r="C4" s="382"/>
      <c r="D4" s="382"/>
      <c r="E4" s="382"/>
      <c r="F4" s="382"/>
      <c r="G4" s="383"/>
      <c r="H4" s="383"/>
      <c r="I4" s="383"/>
      <c r="J4" s="383"/>
      <c r="K4" s="26"/>
      <c r="L4" s="26"/>
      <c r="M4" s="26"/>
      <c r="N4" s="26"/>
      <c r="O4" s="26"/>
      <c r="P4" s="26"/>
      <c r="Q4" s="26"/>
      <c r="R4" s="26"/>
      <c r="S4" s="26"/>
      <c r="T4" s="26"/>
      <c r="U4" s="26"/>
      <c r="V4" s="26"/>
      <c r="W4" s="26"/>
      <c r="X4" s="26"/>
      <c r="Y4" s="26"/>
      <c r="Z4" s="26"/>
      <c r="AA4" s="12"/>
      <c r="AB4" s="13"/>
      <c r="AC4" s="13"/>
      <c r="AD4" s="13"/>
      <c r="AE4" s="13"/>
      <c r="AF4" s="13"/>
      <c r="AG4" s="13"/>
      <c r="AH4" s="13"/>
      <c r="AI4" s="13"/>
      <c r="AJ4" s="13"/>
      <c r="AK4" s="13"/>
      <c r="AL4" s="13"/>
      <c r="AM4" s="13"/>
      <c r="AN4" s="14"/>
      <c r="AO4" s="14"/>
      <c r="AP4" s="14"/>
      <c r="AQ4" s="14"/>
      <c r="AR4" s="14"/>
      <c r="AS4" s="14"/>
      <c r="AT4" s="14"/>
      <c r="AU4" s="14"/>
      <c r="AV4" s="14"/>
      <c r="AX4" s="15"/>
      <c r="AY4" s="15"/>
      <c r="AZ4" s="14"/>
      <c r="BA4" s="14"/>
      <c r="BB4" s="14"/>
      <c r="BC4" s="14"/>
      <c r="BD4" s="14"/>
      <c r="BE4" s="14"/>
      <c r="BF4" s="14"/>
      <c r="BG4" s="14"/>
      <c r="BH4" s="14"/>
      <c r="BI4" s="14"/>
      <c r="BJ4" s="14"/>
      <c r="BK4" s="14"/>
      <c r="BL4" s="14"/>
      <c r="BM4" s="14"/>
      <c r="BN4" s="14"/>
      <c r="BO4" s="14"/>
      <c r="BP4" s="14"/>
      <c r="BR4" s="15"/>
      <c r="BS4" s="15"/>
      <c r="BT4" s="14"/>
      <c r="BU4" s="14"/>
      <c r="BV4" s="14"/>
      <c r="BW4" s="14"/>
      <c r="BX4" s="14"/>
      <c r="BY4" s="14"/>
      <c r="BZ4" s="14"/>
      <c r="CA4" s="14"/>
      <c r="CB4" s="14"/>
      <c r="CC4" s="14"/>
      <c r="CD4" s="14"/>
      <c r="CE4" s="14"/>
      <c r="CF4" s="14"/>
      <c r="CG4" s="14"/>
      <c r="CH4" s="14"/>
    </row>
    <row r="5" spans="2:86" s="9" customFormat="1" ht="15.75" customHeight="1" x14ac:dyDescent="0.2">
      <c r="B5" t="s">
        <v>128</v>
      </c>
      <c r="C5" s="385"/>
      <c r="D5" s="385"/>
      <c r="E5" s="382"/>
      <c r="F5" s="382"/>
      <c r="G5" s="383"/>
      <c r="H5" s="383"/>
      <c r="I5" s="383"/>
      <c r="J5" s="383"/>
      <c r="K5" s="26"/>
      <c r="L5" s="26"/>
      <c r="M5" s="26"/>
      <c r="N5" s="26"/>
      <c r="O5" s="26"/>
      <c r="P5" s="26"/>
      <c r="Q5" s="26"/>
      <c r="R5" s="26"/>
      <c r="S5" s="26"/>
      <c r="T5" s="26"/>
      <c r="U5" s="26"/>
      <c r="V5" s="26"/>
      <c r="W5" s="26"/>
      <c r="X5" s="26"/>
      <c r="Y5" s="26"/>
      <c r="Z5" s="26"/>
      <c r="AA5" s="12"/>
      <c r="AB5" s="13"/>
      <c r="AC5" s="13"/>
      <c r="AD5" s="13"/>
      <c r="AE5" s="13"/>
      <c r="AF5" s="13"/>
      <c r="AG5" s="13"/>
      <c r="AH5" s="13"/>
      <c r="AI5" s="13"/>
      <c r="AJ5" s="13"/>
      <c r="AK5" s="13"/>
      <c r="AL5" s="13"/>
      <c r="AM5" s="13"/>
      <c r="AN5" s="14"/>
      <c r="AO5" s="14"/>
      <c r="AP5" s="14"/>
      <c r="AQ5" s="14"/>
      <c r="AR5" s="14"/>
      <c r="AS5" s="14"/>
      <c r="AT5" s="14"/>
      <c r="AU5" s="14"/>
      <c r="AV5" s="14"/>
      <c r="AX5" s="15"/>
      <c r="AY5" s="15"/>
      <c r="AZ5" s="14"/>
      <c r="BA5" s="14"/>
      <c r="BB5" s="14"/>
      <c r="BC5" s="14"/>
      <c r="BD5" s="14"/>
      <c r="BE5" s="14"/>
      <c r="BF5" s="14"/>
      <c r="BG5" s="14"/>
      <c r="BH5" s="14"/>
      <c r="BI5" s="14"/>
      <c r="BJ5" s="14"/>
      <c r="BK5" s="14"/>
      <c r="BL5" s="14"/>
      <c r="BM5" s="14"/>
      <c r="BN5" s="14"/>
      <c r="BO5" s="14"/>
      <c r="BP5" s="14"/>
      <c r="BR5" s="15"/>
      <c r="BS5" s="15"/>
      <c r="BT5" s="14"/>
      <c r="BU5" s="14"/>
      <c r="BV5" s="14"/>
      <c r="BW5" s="14"/>
      <c r="BX5" s="14"/>
      <c r="BY5" s="14"/>
      <c r="BZ5" s="14"/>
      <c r="CA5" s="14"/>
      <c r="CB5" s="14"/>
      <c r="CC5" s="14"/>
      <c r="CD5" s="14"/>
      <c r="CE5" s="14"/>
      <c r="CF5" s="14"/>
      <c r="CG5" s="14"/>
      <c r="CH5" s="14"/>
    </row>
    <row r="6" spans="2:86" s="9" customFormat="1" ht="15.75" customHeight="1" x14ac:dyDescent="0.2">
      <c r="B6" t="s">
        <v>129</v>
      </c>
      <c r="C6" s="386" t="s">
        <v>20</v>
      </c>
      <c r="D6" s="386"/>
      <c r="E6" s="384"/>
      <c r="F6" s="386"/>
      <c r="G6" s="387"/>
      <c r="H6" s="387"/>
      <c r="I6" s="387"/>
      <c r="J6" s="387"/>
      <c r="K6" s="353"/>
      <c r="L6" s="23"/>
      <c r="M6" s="23"/>
      <c r="N6" s="23"/>
      <c r="O6" s="23"/>
      <c r="P6" s="23"/>
      <c r="Q6" s="23"/>
      <c r="R6" s="23"/>
      <c r="S6" s="23"/>
      <c r="T6" s="23"/>
      <c r="U6" s="23"/>
      <c r="V6" s="23"/>
      <c r="W6" s="23"/>
      <c r="X6" s="23"/>
      <c r="Y6" s="23"/>
      <c r="Z6" s="23"/>
      <c r="AA6" s="13"/>
      <c r="AB6" s="13"/>
      <c r="AC6" s="13"/>
      <c r="AD6" s="13"/>
      <c r="AE6" s="13"/>
      <c r="AF6" s="13"/>
      <c r="AG6" s="13"/>
      <c r="AH6" s="13"/>
      <c r="AI6" s="13"/>
      <c r="AJ6" s="13"/>
      <c r="AK6" s="13"/>
      <c r="AL6" s="13"/>
      <c r="AM6" s="13"/>
      <c r="AX6" s="22"/>
      <c r="AY6" s="22"/>
      <c r="BR6" s="22"/>
      <c r="BS6" s="22"/>
    </row>
    <row r="7" spans="2:86" s="9" customFormat="1" ht="15.75" customHeight="1" x14ac:dyDescent="0.2">
      <c r="B7" t="s">
        <v>130</v>
      </c>
      <c r="C7" s="386" t="s">
        <v>18</v>
      </c>
      <c r="D7" s="386"/>
      <c r="E7" s="381"/>
      <c r="F7" s="388"/>
      <c r="G7" s="387"/>
      <c r="H7" s="387"/>
      <c r="I7" s="387"/>
      <c r="J7" s="387"/>
      <c r="K7" s="353"/>
      <c r="L7" s="23"/>
      <c r="M7" s="23"/>
      <c r="N7" s="23"/>
      <c r="O7" s="23"/>
      <c r="P7" s="23"/>
      <c r="Q7" s="23"/>
      <c r="R7" s="23"/>
      <c r="S7" s="23"/>
      <c r="T7" s="23"/>
      <c r="U7" s="23"/>
      <c r="V7" s="23"/>
      <c r="W7" s="23"/>
      <c r="X7" s="23"/>
      <c r="Y7" s="23"/>
      <c r="Z7" s="23"/>
      <c r="AA7" s="18"/>
      <c r="AB7" s="13"/>
      <c r="AC7" s="13"/>
      <c r="AD7" s="19"/>
      <c r="AE7" s="19"/>
      <c r="AF7" s="12"/>
      <c r="AG7" s="12"/>
      <c r="AH7" s="12"/>
      <c r="AI7" s="12"/>
      <c r="AJ7" s="12"/>
      <c r="AK7" s="12"/>
      <c r="AL7" s="12"/>
      <c r="AM7" s="12"/>
      <c r="AN7" s="14"/>
      <c r="AO7" s="14"/>
      <c r="AP7" s="14"/>
      <c r="AQ7" s="14"/>
      <c r="AR7" s="14"/>
      <c r="AS7" s="14"/>
      <c r="AT7" s="14"/>
      <c r="AU7" s="14"/>
      <c r="AV7" s="14"/>
      <c r="AX7" s="15"/>
      <c r="AY7" s="15"/>
      <c r="AZ7" s="14"/>
      <c r="BA7" s="14"/>
      <c r="BB7" s="14"/>
      <c r="BC7" s="14"/>
      <c r="BD7" s="14"/>
      <c r="BE7" s="14"/>
      <c r="BF7" s="14"/>
      <c r="BG7" s="14"/>
      <c r="BH7" s="14"/>
      <c r="BI7" s="14"/>
      <c r="BJ7" s="14"/>
      <c r="BK7" s="14"/>
      <c r="BL7" s="14"/>
      <c r="BM7" s="14"/>
      <c r="BN7" s="14"/>
      <c r="BO7" s="14"/>
      <c r="BP7" s="14"/>
      <c r="BR7" s="15"/>
      <c r="BS7" s="15"/>
      <c r="BT7" s="14"/>
      <c r="BU7" s="14"/>
      <c r="BV7" s="14"/>
      <c r="BW7" s="14"/>
      <c r="BX7" s="14"/>
      <c r="BY7" s="14"/>
      <c r="BZ7" s="14"/>
      <c r="CA7" s="14"/>
      <c r="CB7" s="14"/>
      <c r="CC7" s="14"/>
      <c r="CD7" s="14"/>
      <c r="CE7" s="14"/>
      <c r="CF7" s="14"/>
      <c r="CG7" s="14"/>
      <c r="CH7" s="14"/>
    </row>
    <row r="8" spans="2:86" s="9" customFormat="1" ht="15.75" customHeight="1" x14ac:dyDescent="0.2">
      <c r="B8" t="s">
        <v>131</v>
      </c>
      <c r="C8" s="386" t="s">
        <v>19</v>
      </c>
      <c r="D8" s="386"/>
      <c r="E8" s="384"/>
      <c r="F8" s="386"/>
      <c r="G8" s="389"/>
      <c r="H8" s="389"/>
      <c r="I8" s="389"/>
      <c r="J8" s="389"/>
      <c r="K8" s="353"/>
      <c r="L8" s="24"/>
      <c r="M8" s="24"/>
      <c r="N8" s="24"/>
      <c r="O8" s="24"/>
      <c r="P8" s="24"/>
      <c r="Q8" s="24"/>
      <c r="R8" s="24"/>
      <c r="S8" s="24"/>
      <c r="T8" s="24"/>
      <c r="U8" s="24"/>
      <c r="V8" s="24"/>
      <c r="W8" s="24"/>
      <c r="X8" s="24"/>
      <c r="Y8" s="24"/>
      <c r="Z8" s="24"/>
      <c r="AA8" s="13"/>
      <c r="AB8" s="13"/>
      <c r="AC8" s="13"/>
      <c r="AD8" s="20"/>
      <c r="AE8" s="20"/>
      <c r="AF8" s="13"/>
      <c r="AG8" s="13"/>
      <c r="AH8" s="13"/>
      <c r="AI8" s="13"/>
      <c r="AJ8" s="13"/>
      <c r="AK8" s="13"/>
      <c r="AL8" s="13"/>
      <c r="AM8" s="13"/>
      <c r="AX8" s="21"/>
      <c r="AY8" s="21"/>
      <c r="BR8" s="21"/>
      <c r="BS8" s="21"/>
    </row>
    <row r="9" spans="2:86" s="9" customFormat="1" ht="15.75" customHeight="1" x14ac:dyDescent="0.2">
      <c r="B9"/>
      <c r="C9" s="386"/>
      <c r="D9" s="386"/>
      <c r="E9" s="384"/>
      <c r="F9" s="386"/>
      <c r="G9" s="389"/>
      <c r="H9" s="389"/>
      <c r="I9" s="389"/>
      <c r="J9" s="389"/>
      <c r="K9" s="353"/>
      <c r="L9" s="24"/>
      <c r="M9" s="24"/>
      <c r="N9" s="24"/>
      <c r="O9" s="24"/>
      <c r="P9" s="24"/>
      <c r="Q9" s="24"/>
      <c r="R9" s="24"/>
      <c r="S9" s="24"/>
      <c r="T9" s="24"/>
      <c r="U9" s="24"/>
      <c r="V9" s="24"/>
      <c r="W9" s="24"/>
      <c r="X9" s="24"/>
      <c r="Y9" s="24"/>
      <c r="Z9" s="24"/>
      <c r="AA9" s="13"/>
      <c r="AB9" s="13"/>
      <c r="AC9" s="13"/>
      <c r="AD9" s="20"/>
      <c r="AE9" s="20"/>
      <c r="AF9" s="13"/>
      <c r="AG9" s="13"/>
      <c r="AH9" s="13"/>
      <c r="AI9" s="13"/>
      <c r="AJ9" s="13"/>
      <c r="AK9" s="13"/>
      <c r="AL9" s="13"/>
      <c r="AM9" s="13"/>
      <c r="AX9" s="21"/>
      <c r="AY9" s="21"/>
      <c r="BR9" s="21"/>
      <c r="BS9" s="21"/>
    </row>
    <row r="10" spans="2:86" s="9" customFormat="1" ht="15.75" customHeight="1" x14ac:dyDescent="0.2">
      <c r="B10" s="517" t="s">
        <v>132</v>
      </c>
      <c r="C10" s="386"/>
      <c r="D10" s="386"/>
      <c r="E10" s="384"/>
      <c r="F10" s="386"/>
      <c r="G10" s="387"/>
      <c r="H10" s="387"/>
      <c r="I10" s="387"/>
      <c r="J10" s="387"/>
      <c r="K10" s="353"/>
      <c r="L10" s="23"/>
      <c r="M10" s="23"/>
      <c r="N10" s="23"/>
      <c r="O10" s="23"/>
      <c r="P10" s="23"/>
      <c r="Q10" s="23"/>
      <c r="R10" s="23"/>
      <c r="S10" s="23"/>
      <c r="T10" s="23"/>
      <c r="U10" s="23"/>
      <c r="V10" s="23"/>
      <c r="W10" s="23"/>
      <c r="X10" s="23"/>
      <c r="Y10" s="23"/>
      <c r="Z10" s="23"/>
      <c r="AA10" s="13"/>
      <c r="AB10" s="13"/>
      <c r="AC10" s="13"/>
      <c r="AD10" s="13"/>
      <c r="AE10" s="13"/>
      <c r="AF10" s="13"/>
      <c r="AG10" s="13"/>
      <c r="AH10" s="13"/>
      <c r="AI10" s="13"/>
      <c r="AJ10" s="13"/>
      <c r="AK10" s="13"/>
      <c r="AL10" s="13"/>
      <c r="AM10" s="13"/>
      <c r="AX10" s="22"/>
      <c r="AY10" s="22"/>
      <c r="BR10" s="22"/>
      <c r="BS10" s="22"/>
    </row>
    <row r="11" spans="2:86" s="9" customFormat="1" ht="15.75" customHeight="1" x14ac:dyDescent="0.2">
      <c r="B11" t="s">
        <v>133</v>
      </c>
      <c r="C11" s="390" t="s">
        <v>55</v>
      </c>
      <c r="D11" s="386"/>
      <c r="E11" s="384"/>
      <c r="F11" s="386"/>
      <c r="G11" s="387"/>
      <c r="H11" s="387"/>
      <c r="I11" s="387"/>
      <c r="J11" s="387"/>
      <c r="K11" s="353"/>
      <c r="L11" s="23"/>
      <c r="M11" s="23"/>
      <c r="N11" s="23"/>
      <c r="O11" s="23"/>
      <c r="P11" s="23"/>
      <c r="Q11" s="23"/>
      <c r="R11" s="23"/>
      <c r="S11" s="23"/>
      <c r="T11" s="23"/>
      <c r="U11" s="23"/>
      <c r="V11" s="23"/>
      <c r="W11" s="23"/>
      <c r="X11" s="23"/>
      <c r="Y11" s="23"/>
      <c r="Z11" s="23"/>
      <c r="AA11" s="13"/>
      <c r="AB11" s="13"/>
      <c r="AC11" s="13"/>
      <c r="AD11" s="13"/>
      <c r="AE11" s="13"/>
      <c r="AF11" s="13"/>
      <c r="AG11" s="13"/>
      <c r="AH11" s="13"/>
      <c r="AI11" s="13"/>
      <c r="AJ11" s="13"/>
      <c r="AK11" s="13"/>
      <c r="AL11" s="13"/>
      <c r="AM11" s="13"/>
      <c r="AX11" s="22"/>
      <c r="AY11" s="22"/>
      <c r="BR11" s="22"/>
      <c r="BS11" s="22"/>
    </row>
    <row r="12" spans="2:86" s="9" customFormat="1" ht="15.75" customHeight="1" x14ac:dyDescent="0.2">
      <c r="B12" t="s">
        <v>134</v>
      </c>
      <c r="C12" s="390" t="s">
        <v>56</v>
      </c>
      <c r="D12" s="386"/>
      <c r="E12" s="384"/>
      <c r="F12" s="386"/>
      <c r="G12" s="387"/>
      <c r="H12" s="387"/>
      <c r="I12" s="387"/>
      <c r="J12" s="387"/>
      <c r="K12" s="353"/>
      <c r="L12" s="23"/>
      <c r="M12" s="23"/>
      <c r="N12" s="23"/>
      <c r="O12" s="23"/>
      <c r="P12" s="23"/>
      <c r="Q12" s="23"/>
      <c r="R12" s="23"/>
      <c r="S12" s="23"/>
      <c r="T12" s="23"/>
      <c r="U12" s="23"/>
      <c r="V12" s="23"/>
      <c r="W12" s="23"/>
      <c r="X12" s="23"/>
      <c r="Y12" s="23"/>
      <c r="Z12" s="23"/>
      <c r="AA12" s="13"/>
      <c r="AB12" s="13"/>
      <c r="AC12" s="13"/>
      <c r="AD12" s="13"/>
      <c r="AE12" s="13"/>
      <c r="AF12" s="13"/>
      <c r="AG12" s="13"/>
      <c r="AH12" s="13"/>
      <c r="AI12" s="13"/>
      <c r="AJ12" s="13"/>
      <c r="AK12" s="13"/>
      <c r="AL12" s="13"/>
      <c r="AM12" s="13"/>
      <c r="AX12" s="22"/>
      <c r="AY12" s="22"/>
      <c r="BR12" s="22"/>
      <c r="BS12" s="22"/>
    </row>
    <row r="13" spans="2:86" s="9" customFormat="1" ht="15.75" customHeight="1" x14ac:dyDescent="0.2">
      <c r="B13" t="s">
        <v>135</v>
      </c>
      <c r="C13" s="386" t="s">
        <v>21</v>
      </c>
      <c r="D13" s="386"/>
      <c r="E13" s="384"/>
      <c r="F13" s="386"/>
      <c r="G13" s="387"/>
      <c r="H13" s="387"/>
      <c r="I13" s="387"/>
      <c r="J13" s="387"/>
      <c r="K13" s="353"/>
      <c r="L13" s="23"/>
      <c r="M13" s="23"/>
      <c r="N13" s="23"/>
      <c r="O13" s="23"/>
      <c r="P13" s="23"/>
      <c r="Q13" s="23"/>
      <c r="R13" s="23"/>
      <c r="S13" s="23"/>
      <c r="T13" s="23"/>
      <c r="U13" s="23"/>
      <c r="V13" s="23"/>
      <c r="W13" s="23"/>
      <c r="X13" s="23"/>
      <c r="Y13" s="23"/>
      <c r="Z13" s="23"/>
      <c r="AA13" s="13"/>
      <c r="AB13" s="13"/>
      <c r="AC13" s="20"/>
      <c r="AD13" s="13"/>
      <c r="AE13" s="13"/>
      <c r="AF13" s="13"/>
      <c r="AG13" s="13"/>
      <c r="AH13" s="13"/>
      <c r="AI13" s="13"/>
      <c r="AJ13" s="13"/>
      <c r="AK13" s="13"/>
      <c r="AL13" s="13"/>
      <c r="AM13" s="13"/>
      <c r="AW13" s="21"/>
      <c r="BQ13" s="21"/>
    </row>
    <row r="14" spans="2:86" s="9" customFormat="1" ht="15.75" customHeight="1" x14ac:dyDescent="0.2">
      <c r="B14" t="s">
        <v>136</v>
      </c>
      <c r="C14" s="386" t="s">
        <v>17</v>
      </c>
      <c r="D14" s="386"/>
      <c r="E14" s="384"/>
      <c r="F14" s="386"/>
      <c r="G14" s="391"/>
      <c r="H14" s="391"/>
      <c r="I14" s="391"/>
      <c r="J14" s="391"/>
      <c r="K14" s="352"/>
      <c r="L14" s="26"/>
      <c r="M14" s="26"/>
      <c r="N14" s="26"/>
      <c r="O14" s="26"/>
      <c r="P14" s="26"/>
      <c r="Q14" s="26"/>
      <c r="R14" s="26"/>
      <c r="S14" s="26"/>
      <c r="T14" s="26"/>
      <c r="U14" s="26"/>
      <c r="V14" s="26"/>
      <c r="W14" s="26"/>
      <c r="X14" s="26"/>
      <c r="Y14" s="26"/>
      <c r="Z14" s="26"/>
      <c r="AA14" s="12"/>
      <c r="AB14" s="13"/>
      <c r="AC14" s="13"/>
      <c r="AD14" s="13"/>
      <c r="AE14" s="111"/>
      <c r="AF14" s="13"/>
      <c r="AG14" s="13"/>
      <c r="AH14" s="13"/>
      <c r="AI14" s="13"/>
      <c r="AJ14" s="13"/>
      <c r="AK14" s="13"/>
      <c r="AL14" s="13"/>
      <c r="AM14" s="13"/>
      <c r="AN14" s="14"/>
      <c r="AO14" s="14"/>
      <c r="AP14" s="14"/>
      <c r="AQ14" s="14"/>
      <c r="AR14" s="14"/>
      <c r="AS14" s="14"/>
      <c r="AT14" s="14"/>
      <c r="AU14" s="14"/>
      <c r="AV14" s="14"/>
      <c r="AX14" s="15"/>
      <c r="AY14" s="15"/>
      <c r="AZ14" s="14"/>
      <c r="BA14" s="14"/>
      <c r="BB14" s="14"/>
      <c r="BC14" s="14"/>
      <c r="BD14" s="14"/>
      <c r="BE14" s="14"/>
      <c r="BF14" s="14"/>
      <c r="BG14" s="14"/>
      <c r="BH14" s="14"/>
      <c r="BI14" s="14"/>
      <c r="BJ14" s="14"/>
      <c r="BK14" s="14"/>
      <c r="BL14" s="14"/>
      <c r="BM14" s="14"/>
      <c r="BN14" s="14"/>
      <c r="BO14" s="14"/>
      <c r="BP14" s="14"/>
      <c r="BR14" s="15"/>
      <c r="BS14" s="15"/>
      <c r="BT14" s="14"/>
      <c r="BU14" s="14"/>
      <c r="BV14" s="14"/>
      <c r="BW14" s="14"/>
      <c r="BX14" s="14"/>
      <c r="BY14" s="14"/>
      <c r="BZ14" s="14"/>
      <c r="CA14" s="14"/>
      <c r="CB14" s="14"/>
      <c r="CC14" s="14"/>
      <c r="CD14" s="14"/>
      <c r="CE14" s="14"/>
      <c r="CF14" s="14"/>
      <c r="CG14" s="14"/>
      <c r="CH14" s="14"/>
    </row>
    <row r="15" spans="2:86" s="9" customFormat="1" ht="15.75" customHeight="1" x14ac:dyDescent="0.2">
      <c r="B15" t="s">
        <v>137</v>
      </c>
      <c r="C15" s="390" t="s">
        <v>58</v>
      </c>
      <c r="D15" s="386"/>
      <c r="E15" s="384"/>
      <c r="F15" s="386"/>
      <c r="G15" s="391"/>
      <c r="H15" s="391"/>
      <c r="I15" s="391"/>
      <c r="J15" s="391"/>
      <c r="K15" s="352"/>
      <c r="L15" s="26"/>
      <c r="M15" s="26"/>
      <c r="N15" s="26"/>
      <c r="O15" s="26"/>
      <c r="P15" s="26"/>
      <c r="Q15" s="26"/>
      <c r="R15" s="26"/>
      <c r="S15" s="26"/>
      <c r="T15" s="26"/>
      <c r="U15" s="26"/>
      <c r="V15" s="26"/>
      <c r="W15" s="26"/>
      <c r="X15" s="26"/>
      <c r="Y15" s="26"/>
      <c r="Z15" s="26"/>
      <c r="AA15" s="12"/>
      <c r="AB15" s="13"/>
      <c r="AC15" s="13"/>
      <c r="AD15" s="13"/>
      <c r="AE15" s="111"/>
      <c r="AF15" s="13"/>
      <c r="AG15" s="13"/>
      <c r="AH15" s="13"/>
      <c r="AI15" s="13"/>
      <c r="AJ15" s="13"/>
      <c r="AK15" s="13"/>
      <c r="AL15" s="13"/>
      <c r="AM15" s="13"/>
      <c r="AN15" s="14"/>
      <c r="AO15" s="14"/>
      <c r="AP15" s="14"/>
      <c r="AQ15" s="14"/>
      <c r="AR15" s="14"/>
      <c r="AS15" s="14"/>
      <c r="AT15" s="14"/>
      <c r="AU15" s="14"/>
      <c r="AV15" s="14"/>
      <c r="AX15" s="15"/>
      <c r="AY15" s="15"/>
      <c r="AZ15" s="14"/>
      <c r="BA15" s="14"/>
      <c r="BB15" s="14"/>
      <c r="BC15" s="14"/>
      <c r="BD15" s="14"/>
      <c r="BE15" s="14"/>
      <c r="BF15" s="14"/>
      <c r="BG15" s="14"/>
      <c r="BH15" s="14"/>
      <c r="BI15" s="14"/>
      <c r="BJ15" s="14"/>
      <c r="BK15" s="14"/>
      <c r="BL15" s="14"/>
      <c r="BM15" s="14"/>
      <c r="BN15" s="14"/>
      <c r="BO15" s="14"/>
      <c r="BP15" s="14"/>
      <c r="BR15" s="15"/>
      <c r="BS15" s="15"/>
      <c r="BT15" s="14"/>
      <c r="BU15" s="14"/>
      <c r="BV15" s="14"/>
      <c r="BW15" s="14"/>
      <c r="BX15" s="14"/>
      <c r="BY15" s="14"/>
      <c r="BZ15" s="14"/>
      <c r="CA15" s="14"/>
      <c r="CB15" s="14"/>
      <c r="CC15" s="14"/>
      <c r="CD15" s="14"/>
      <c r="CE15" s="14"/>
      <c r="CF15" s="14"/>
      <c r="CG15" s="14"/>
      <c r="CH15" s="14"/>
    </row>
    <row r="16" spans="2:86" ht="15.75" customHeight="1" x14ac:dyDescent="0.2">
      <c r="B16" t="s">
        <v>138</v>
      </c>
      <c r="C16" s="386" t="s">
        <v>47</v>
      </c>
      <c r="D16" s="386"/>
      <c r="E16" s="386"/>
      <c r="F16" s="386"/>
      <c r="G16" s="387"/>
      <c r="H16" s="387"/>
      <c r="I16" s="387"/>
      <c r="J16" s="387"/>
      <c r="K16" s="354"/>
      <c r="L16" s="27"/>
      <c r="M16" s="27"/>
      <c r="N16" s="27"/>
      <c r="O16" s="27"/>
      <c r="P16" s="27"/>
      <c r="Q16" s="27"/>
      <c r="R16" s="27"/>
      <c r="S16" s="27"/>
      <c r="T16" s="27"/>
      <c r="U16" s="27"/>
      <c r="V16" s="27"/>
      <c r="W16" s="27"/>
      <c r="X16" s="27"/>
      <c r="Y16" s="27"/>
      <c r="Z16" s="27"/>
      <c r="AA16" s="7"/>
      <c r="AB16" s="5"/>
      <c r="AC16" s="5"/>
      <c r="AD16" s="5"/>
      <c r="AE16" s="5"/>
      <c r="AF16" s="5"/>
      <c r="AG16" s="5"/>
      <c r="AH16" s="5"/>
      <c r="AI16" s="5"/>
      <c r="AJ16" s="5"/>
      <c r="AK16" s="5"/>
      <c r="AL16" s="5"/>
      <c r="AM16" s="5"/>
    </row>
    <row r="17" spans="2:176" s="9" customFormat="1" ht="15.75" customHeight="1" x14ac:dyDescent="0.2">
      <c r="B17" t="s">
        <v>139</v>
      </c>
      <c r="C17" s="386" t="s">
        <v>42</v>
      </c>
      <c r="D17" s="386"/>
      <c r="E17" s="386"/>
      <c r="F17" s="386"/>
      <c r="G17" s="387"/>
      <c r="H17" s="387"/>
      <c r="I17" s="387"/>
      <c r="J17" s="387"/>
      <c r="K17" s="353"/>
      <c r="L17" s="23"/>
      <c r="M17" s="23"/>
      <c r="N17" s="23"/>
      <c r="O17" s="23"/>
      <c r="P17" s="23"/>
      <c r="Q17" s="23"/>
      <c r="R17" s="23"/>
      <c r="S17" s="23"/>
      <c r="T17" s="23"/>
      <c r="U17" s="23"/>
      <c r="V17" s="23"/>
      <c r="W17" s="23"/>
      <c r="X17" s="23"/>
      <c r="Y17" s="23"/>
      <c r="Z17" s="23"/>
      <c r="AA17" s="13"/>
      <c r="AB17" s="13"/>
      <c r="AC17" s="13"/>
      <c r="AD17" s="13"/>
      <c r="AE17" s="13"/>
      <c r="AF17" s="13"/>
      <c r="AG17" s="13"/>
      <c r="AH17" s="13"/>
      <c r="AI17" s="13"/>
      <c r="AJ17" s="13"/>
      <c r="AK17" s="13"/>
      <c r="AL17" s="13"/>
      <c r="AM17" s="13"/>
      <c r="AW17" s="21"/>
      <c r="BQ17" s="21"/>
    </row>
    <row r="18" spans="2:176" s="9" customFormat="1" ht="15.75" customHeight="1" x14ac:dyDescent="0.2">
      <c r="B18" t="s">
        <v>140</v>
      </c>
      <c r="C18" s="386" t="s">
        <v>45</v>
      </c>
      <c r="D18" s="386"/>
      <c r="E18" s="386"/>
      <c r="F18" s="386"/>
      <c r="G18" s="387"/>
      <c r="H18" s="387"/>
      <c r="I18" s="387"/>
      <c r="J18" s="387"/>
      <c r="K18" s="353"/>
      <c r="L18" s="23"/>
      <c r="M18" s="23"/>
      <c r="N18" s="23"/>
      <c r="O18" s="23"/>
      <c r="P18" s="23"/>
      <c r="Q18" s="23"/>
      <c r="R18" s="23"/>
      <c r="S18" s="23"/>
      <c r="T18" s="23"/>
      <c r="U18" s="23"/>
      <c r="V18" s="23"/>
      <c r="W18" s="23"/>
      <c r="X18" s="23"/>
      <c r="Y18" s="23"/>
      <c r="Z18" s="23"/>
      <c r="AA18" s="13"/>
      <c r="AB18" s="13"/>
      <c r="AC18" s="13"/>
      <c r="AD18" s="13"/>
      <c r="AE18" s="13"/>
      <c r="AF18" s="13"/>
      <c r="AG18" s="13"/>
      <c r="AH18" s="13"/>
      <c r="AI18" s="13"/>
      <c r="AJ18" s="13"/>
      <c r="AK18" s="13"/>
      <c r="AL18" s="13"/>
      <c r="AM18" s="13"/>
    </row>
    <row r="19" spans="2:176" s="9" customFormat="1" ht="15.75" customHeight="1" x14ac:dyDescent="0.2">
      <c r="B19" t="s">
        <v>141</v>
      </c>
      <c r="C19" s="390" t="s">
        <v>57</v>
      </c>
      <c r="D19" s="386"/>
      <c r="E19" s="386"/>
      <c r="F19" s="386"/>
      <c r="G19" s="387"/>
      <c r="H19" s="387"/>
      <c r="I19" s="387"/>
      <c r="J19" s="387"/>
      <c r="K19" s="353"/>
      <c r="L19" s="23"/>
      <c r="M19" s="23"/>
      <c r="N19" s="23"/>
      <c r="O19" s="23"/>
      <c r="P19" s="23"/>
      <c r="Q19" s="23"/>
      <c r="R19" s="23"/>
      <c r="S19" s="23"/>
      <c r="T19" s="23"/>
      <c r="U19" s="23"/>
      <c r="V19" s="23"/>
      <c r="W19" s="23"/>
      <c r="X19" s="23"/>
      <c r="Y19" s="23"/>
      <c r="Z19" s="23"/>
      <c r="AA19" s="13"/>
      <c r="AB19" s="13"/>
      <c r="AC19" s="13"/>
      <c r="AD19" s="13"/>
      <c r="AE19" s="13"/>
      <c r="AF19" s="13"/>
      <c r="AG19" s="13"/>
      <c r="AH19" s="13"/>
      <c r="AI19" s="13"/>
      <c r="AJ19" s="13"/>
      <c r="AK19" s="13"/>
      <c r="AL19" s="13"/>
      <c r="AM19" s="13"/>
    </row>
    <row r="20" spans="2:176" s="9" customFormat="1" ht="15.75" customHeight="1" x14ac:dyDescent="0.2">
      <c r="B20"/>
      <c r="C20" s="386"/>
      <c r="D20" s="386"/>
      <c r="E20" s="384"/>
      <c r="F20" s="386"/>
      <c r="G20" s="383"/>
      <c r="H20" s="383"/>
      <c r="I20" s="383"/>
      <c r="J20" s="383"/>
      <c r="K20" s="352"/>
      <c r="L20" s="26"/>
      <c r="M20" s="26"/>
      <c r="N20" s="26"/>
      <c r="O20" s="26"/>
      <c r="P20" s="26"/>
      <c r="Q20" s="26"/>
      <c r="R20" s="26"/>
      <c r="S20" s="26"/>
      <c r="T20" s="26"/>
      <c r="U20" s="26"/>
      <c r="V20" s="26"/>
      <c r="W20" s="26"/>
      <c r="X20" s="26"/>
      <c r="Y20" s="26"/>
      <c r="Z20" s="26"/>
      <c r="AA20" s="12"/>
      <c r="AB20" s="13"/>
      <c r="AC20" s="13"/>
      <c r="AD20" s="13"/>
      <c r="AE20" s="111"/>
      <c r="AF20" s="13"/>
      <c r="AG20" s="13"/>
      <c r="AH20" s="13"/>
      <c r="AI20" s="13"/>
      <c r="AJ20" s="13"/>
      <c r="AK20" s="13"/>
      <c r="AL20" s="13"/>
      <c r="AM20" s="13"/>
      <c r="AN20" s="14"/>
      <c r="AO20" s="14"/>
      <c r="AP20" s="14"/>
      <c r="AQ20" s="14"/>
      <c r="AR20" s="14"/>
      <c r="AS20" s="14"/>
      <c r="AT20" s="14"/>
      <c r="AU20" s="14"/>
      <c r="AV20" s="14"/>
      <c r="AX20" s="15"/>
      <c r="AY20" s="15"/>
      <c r="AZ20" s="14"/>
      <c r="BA20" s="14"/>
      <c r="BB20" s="14"/>
      <c r="BC20" s="14"/>
      <c r="BD20" s="14"/>
      <c r="BE20" s="14"/>
      <c r="BF20" s="14"/>
      <c r="BG20" s="14"/>
      <c r="BH20" s="14"/>
      <c r="BI20" s="14"/>
      <c r="BJ20" s="14"/>
      <c r="BK20" s="14"/>
      <c r="BL20" s="14"/>
      <c r="BM20" s="14"/>
      <c r="BN20" s="14"/>
      <c r="BO20" s="14"/>
      <c r="BP20" s="14"/>
      <c r="BR20" s="15"/>
      <c r="BS20" s="15"/>
      <c r="BT20" s="14"/>
      <c r="BU20" s="14"/>
      <c r="BV20" s="14"/>
      <c r="BW20" s="14"/>
      <c r="BX20" s="14"/>
      <c r="BY20" s="14"/>
      <c r="BZ20" s="14"/>
      <c r="CA20" s="14"/>
      <c r="CB20" s="14"/>
      <c r="CC20" s="14"/>
      <c r="CD20" s="14"/>
      <c r="CE20" s="14"/>
      <c r="CF20" s="14"/>
      <c r="CG20" s="14"/>
      <c r="CH20" s="14"/>
    </row>
    <row r="21" spans="2:176" s="9" customFormat="1" ht="15.75" customHeight="1" x14ac:dyDescent="0.2">
      <c r="B21" s="517" t="s">
        <v>142</v>
      </c>
      <c r="C21" s="386"/>
      <c r="D21" s="386"/>
      <c r="E21" s="384"/>
      <c r="F21" s="386"/>
      <c r="G21" s="383"/>
      <c r="H21" s="383"/>
      <c r="I21" s="383"/>
      <c r="J21" s="383"/>
      <c r="K21" s="352"/>
      <c r="L21" s="26"/>
      <c r="M21" s="26"/>
      <c r="N21" s="26"/>
      <c r="O21" s="26"/>
      <c r="P21" s="26"/>
      <c r="Q21" s="26"/>
      <c r="R21" s="26"/>
      <c r="S21" s="26"/>
      <c r="T21" s="26"/>
      <c r="U21" s="26"/>
      <c r="V21" s="26"/>
      <c r="W21" s="26"/>
      <c r="X21" s="26"/>
      <c r="Y21" s="26"/>
      <c r="Z21" s="26"/>
      <c r="AA21" s="12"/>
      <c r="AB21" s="13"/>
      <c r="AC21" s="13"/>
      <c r="AD21" s="13"/>
      <c r="AE21" s="111"/>
      <c r="AF21" s="13"/>
      <c r="AG21" s="13"/>
      <c r="AH21" s="13"/>
      <c r="AI21" s="13"/>
      <c r="AJ21" s="13"/>
      <c r="AK21" s="13"/>
      <c r="AL21" s="13"/>
      <c r="AM21" s="13"/>
      <c r="AN21" s="14"/>
      <c r="AO21" s="14"/>
      <c r="AP21" s="14"/>
      <c r="AQ21" s="14"/>
      <c r="AR21" s="14"/>
      <c r="AS21" s="14"/>
      <c r="AT21" s="14"/>
      <c r="AU21" s="14"/>
      <c r="AV21" s="14"/>
      <c r="AX21" s="15"/>
      <c r="AY21" s="15"/>
      <c r="AZ21" s="14"/>
      <c r="BA21" s="14"/>
      <c r="BB21" s="14"/>
      <c r="BC21" s="14"/>
      <c r="BD21" s="14"/>
      <c r="BE21" s="14"/>
      <c r="BF21" s="14"/>
      <c r="BG21" s="14"/>
      <c r="BH21" s="14"/>
      <c r="BI21" s="14"/>
      <c r="BJ21" s="14"/>
      <c r="BK21" s="14"/>
      <c r="BL21" s="14"/>
      <c r="BM21" s="14"/>
      <c r="BN21" s="14"/>
      <c r="BO21" s="14"/>
      <c r="BP21" s="14"/>
      <c r="BR21" s="15"/>
      <c r="BS21" s="15"/>
      <c r="BT21" s="14"/>
      <c r="BU21" s="14"/>
      <c r="BV21" s="14"/>
      <c r="BW21" s="14"/>
      <c r="BX21" s="14"/>
      <c r="BY21" s="14"/>
      <c r="BZ21" s="14"/>
      <c r="CA21" s="14"/>
      <c r="CB21" s="14"/>
      <c r="CC21" s="14"/>
      <c r="CD21" s="14"/>
      <c r="CE21" s="14"/>
      <c r="CF21" s="14"/>
      <c r="CG21" s="14"/>
      <c r="CH21" s="14"/>
    </row>
    <row r="22" spans="2:176" s="9" customFormat="1" ht="15.75" customHeight="1" x14ac:dyDescent="0.2">
      <c r="B22" t="s">
        <v>143</v>
      </c>
      <c r="C22" s="386" t="s">
        <v>44</v>
      </c>
      <c r="D22" s="386"/>
      <c r="E22" s="386"/>
      <c r="F22" s="386"/>
      <c r="G22" s="387"/>
      <c r="H22" s="387"/>
      <c r="I22" s="387"/>
      <c r="J22" s="387"/>
      <c r="K22" s="353"/>
      <c r="L22" s="23"/>
      <c r="M22" s="23"/>
      <c r="N22" s="23"/>
      <c r="O22" s="23"/>
      <c r="P22" s="23"/>
      <c r="Q22" s="23"/>
      <c r="R22" s="23"/>
      <c r="S22" s="23"/>
      <c r="T22" s="23"/>
      <c r="U22" s="23"/>
      <c r="V22" s="23"/>
      <c r="W22" s="23"/>
      <c r="X22" s="23"/>
      <c r="Y22" s="23"/>
      <c r="Z22" s="23"/>
      <c r="AA22" s="13"/>
      <c r="AB22" s="13"/>
      <c r="AC22" s="20"/>
      <c r="AD22" s="13"/>
      <c r="AE22" s="13"/>
      <c r="AF22" s="13"/>
      <c r="AG22" s="13"/>
      <c r="AH22" s="13"/>
      <c r="AI22" s="13"/>
      <c r="AJ22" s="13"/>
      <c r="AK22" s="13"/>
      <c r="AL22" s="13"/>
      <c r="AM22" s="13"/>
    </row>
    <row r="23" spans="2:176" ht="15.75" customHeight="1" x14ac:dyDescent="0.2">
      <c r="B23" t="s">
        <v>145</v>
      </c>
      <c r="C23" s="154" t="s">
        <v>49</v>
      </c>
      <c r="D23" s="154"/>
      <c r="E23" s="154"/>
      <c r="F23" s="154"/>
      <c r="G23" s="387"/>
      <c r="H23" s="387"/>
      <c r="I23" s="387"/>
      <c r="J23" s="387"/>
      <c r="K23" s="354"/>
      <c r="L23" s="27"/>
      <c r="M23" s="27"/>
      <c r="N23" s="27"/>
      <c r="O23" s="27"/>
      <c r="P23" s="27"/>
      <c r="Q23" s="27"/>
      <c r="R23" s="27"/>
      <c r="S23" s="27"/>
      <c r="T23" s="27"/>
      <c r="U23" s="27"/>
      <c r="V23" s="27"/>
      <c r="W23" s="27"/>
      <c r="X23" s="27"/>
      <c r="Y23" s="27"/>
      <c r="Z23" s="27"/>
    </row>
    <row r="24" spans="2:176" ht="15.75" customHeight="1" x14ac:dyDescent="0.2">
      <c r="B24" t="s">
        <v>144</v>
      </c>
      <c r="C24" s="386" t="s">
        <v>46</v>
      </c>
      <c r="D24" s="385"/>
      <c r="E24" s="382"/>
      <c r="F24" s="382"/>
      <c r="G24" s="387"/>
      <c r="H24" s="387"/>
      <c r="I24" s="387"/>
      <c r="J24" s="387"/>
      <c r="K24" s="354"/>
      <c r="L24" s="27"/>
      <c r="M24" s="27"/>
      <c r="N24" s="27"/>
      <c r="O24" s="27"/>
      <c r="P24" s="27"/>
      <c r="Q24" s="27"/>
      <c r="R24" s="27"/>
      <c r="S24" s="27"/>
      <c r="T24" s="27"/>
      <c r="U24" s="27"/>
      <c r="V24" s="27"/>
      <c r="W24" s="27"/>
      <c r="X24" s="27"/>
      <c r="Y24" s="27"/>
      <c r="Z24" s="27"/>
      <c r="AA24" s="5"/>
      <c r="AB24" s="5"/>
      <c r="AC24" s="5"/>
      <c r="AD24" s="5"/>
      <c r="AE24" s="5"/>
      <c r="AF24" s="5"/>
      <c r="AG24" s="5"/>
      <c r="AH24" s="5"/>
      <c r="AI24" s="5"/>
      <c r="AJ24" s="5"/>
      <c r="AK24" s="5"/>
      <c r="AL24" s="5"/>
      <c r="AM24" s="5"/>
    </row>
    <row r="25" spans="2:176" ht="15.75" customHeight="1" x14ac:dyDescent="0.2">
      <c r="B25" t="s">
        <v>146</v>
      </c>
      <c r="C25" s="154" t="s">
        <v>48</v>
      </c>
      <c r="D25" s="386"/>
      <c r="E25" s="386"/>
      <c r="F25" s="386"/>
      <c r="G25" s="387"/>
      <c r="H25" s="387"/>
      <c r="I25" s="387"/>
      <c r="J25" s="387"/>
      <c r="K25" s="354"/>
      <c r="L25" s="27"/>
      <c r="M25" s="27"/>
      <c r="N25" s="27"/>
      <c r="O25" s="27"/>
      <c r="P25" s="27"/>
      <c r="Q25" s="27"/>
      <c r="R25" s="27"/>
      <c r="S25" s="27"/>
      <c r="T25" s="27"/>
      <c r="U25" s="27"/>
      <c r="V25" s="27"/>
      <c r="W25" s="27"/>
      <c r="X25" s="27"/>
      <c r="Y25" s="27"/>
      <c r="Z25" s="27"/>
      <c r="AA25" s="5"/>
      <c r="AB25" s="5"/>
      <c r="AC25" s="5"/>
    </row>
    <row r="26" spans="2:176" ht="15.75" customHeight="1" x14ac:dyDescent="0.2">
      <c r="B26"/>
      <c r="C26" s="154"/>
      <c r="D26" s="386"/>
      <c r="E26" s="386"/>
      <c r="F26" s="386"/>
      <c r="G26" s="387"/>
      <c r="H26" s="387"/>
      <c r="I26" s="387"/>
      <c r="J26" s="387"/>
      <c r="K26" s="354"/>
      <c r="L26" s="27"/>
      <c r="M26" s="27"/>
      <c r="N26" s="27"/>
      <c r="O26" s="27"/>
      <c r="P26" s="27"/>
      <c r="Q26" s="27"/>
      <c r="R26" s="27"/>
      <c r="S26" s="27"/>
      <c r="T26" s="27"/>
      <c r="U26" s="27"/>
      <c r="V26" s="27"/>
      <c r="W26" s="27"/>
      <c r="X26" s="27"/>
      <c r="Y26" s="27"/>
      <c r="Z26" s="27"/>
      <c r="AA26" s="5"/>
      <c r="AB26" s="5"/>
      <c r="AC26" s="5"/>
    </row>
    <row r="27" spans="2:176" ht="15.75" customHeight="1" x14ac:dyDescent="0.2">
      <c r="B27" s="517" t="s">
        <v>147</v>
      </c>
      <c r="C27" s="154"/>
      <c r="D27" s="154"/>
      <c r="E27" s="154"/>
      <c r="F27" s="154"/>
      <c r="G27" s="392"/>
      <c r="H27" s="392"/>
      <c r="I27" s="392"/>
      <c r="J27" s="392"/>
      <c r="K27" s="353"/>
      <c r="L27" s="28"/>
      <c r="M27" s="28"/>
      <c r="N27" s="28"/>
      <c r="O27" s="28"/>
      <c r="P27" s="28"/>
      <c r="Q27" s="28"/>
      <c r="R27" s="28"/>
      <c r="S27" s="28"/>
      <c r="T27" s="28"/>
      <c r="U27" s="28"/>
      <c r="V27" s="28"/>
      <c r="W27" s="28"/>
      <c r="X27" s="28"/>
      <c r="Y27" s="28"/>
      <c r="Z27" s="28"/>
    </row>
    <row r="28" spans="2:176" s="9" customFormat="1" ht="15.75" customHeight="1" x14ac:dyDescent="0.2">
      <c r="B28" t="s">
        <v>148</v>
      </c>
      <c r="C28" s="386" t="s">
        <v>43</v>
      </c>
      <c r="D28" s="386"/>
      <c r="E28" s="386"/>
      <c r="F28" s="386"/>
      <c r="G28" s="389"/>
      <c r="H28" s="389"/>
      <c r="I28" s="389"/>
      <c r="J28" s="389"/>
      <c r="K28" s="353"/>
      <c r="L28" s="24"/>
      <c r="M28" s="24"/>
      <c r="N28" s="24"/>
      <c r="O28" s="24"/>
      <c r="P28" s="24"/>
      <c r="Q28" s="24"/>
      <c r="R28" s="24"/>
      <c r="S28" s="24"/>
      <c r="T28" s="24"/>
      <c r="U28" s="24"/>
      <c r="V28" s="24"/>
      <c r="W28" s="24"/>
      <c r="X28" s="24"/>
      <c r="Y28" s="24"/>
      <c r="Z28" s="24"/>
      <c r="AA28" s="13"/>
      <c r="AB28" s="13"/>
      <c r="AC28" s="13"/>
      <c r="AD28" s="13"/>
      <c r="AE28" s="13"/>
      <c r="AF28" s="13"/>
      <c r="AG28" s="13"/>
      <c r="AH28" s="13"/>
      <c r="AI28" s="13"/>
      <c r="AJ28" s="13"/>
      <c r="AK28" s="13"/>
      <c r="AL28" s="13"/>
      <c r="AM28" s="13"/>
    </row>
    <row r="29" spans="2:176" ht="15.75" customHeight="1" x14ac:dyDescent="0.2">
      <c r="B29" s="154"/>
      <c r="C29" s="154"/>
      <c r="D29" s="154"/>
      <c r="E29" s="154"/>
      <c r="F29" s="154"/>
      <c r="G29" s="387"/>
      <c r="H29" s="387"/>
      <c r="I29" s="387"/>
      <c r="J29" s="387"/>
      <c r="K29" s="352"/>
      <c r="L29" s="27"/>
      <c r="M29" s="27"/>
      <c r="N29" s="27"/>
      <c r="O29" s="27"/>
      <c r="P29" s="27"/>
      <c r="Q29" s="27"/>
      <c r="R29" s="27"/>
      <c r="S29" s="27"/>
      <c r="T29" s="27"/>
      <c r="U29" s="27"/>
      <c r="V29" s="27"/>
      <c r="W29" s="27"/>
      <c r="X29" s="27"/>
      <c r="Y29" s="27"/>
      <c r="Z29" s="27"/>
    </row>
    <row r="30" spans="2:176" ht="15.75" customHeight="1" x14ac:dyDescent="0.2">
      <c r="B30" s="154"/>
      <c r="C30" s="380"/>
      <c r="D30" s="380"/>
      <c r="E30" s="154"/>
      <c r="F30" s="154"/>
      <c r="G30" s="387"/>
      <c r="H30" s="387"/>
      <c r="I30" s="387"/>
      <c r="J30" s="387"/>
      <c r="K30" s="353" t="s">
        <v>52</v>
      </c>
      <c r="L30" s="27"/>
      <c r="M30" s="27"/>
      <c r="N30" s="27"/>
      <c r="O30" s="27"/>
      <c r="P30" s="27"/>
      <c r="Q30" s="27"/>
      <c r="R30" s="27"/>
      <c r="S30" s="27"/>
      <c r="T30" s="27"/>
      <c r="U30" s="27"/>
      <c r="V30" s="27"/>
      <c r="W30" s="27"/>
      <c r="X30" s="27"/>
      <c r="Y30" s="27"/>
      <c r="Z30" s="27"/>
    </row>
    <row r="31" spans="2:176" s="2" customFormat="1" ht="15.75" customHeight="1" x14ac:dyDescent="0.2">
      <c r="B31" s="154"/>
      <c r="C31" s="380"/>
      <c r="D31" s="380"/>
      <c r="E31" s="154"/>
      <c r="F31" s="154"/>
      <c r="G31" s="389"/>
      <c r="H31" s="389"/>
      <c r="I31" s="389"/>
      <c r="J31" s="389"/>
      <c r="K31" s="353" t="s">
        <v>52</v>
      </c>
      <c r="L31" s="29"/>
      <c r="M31" s="29"/>
      <c r="N31" s="29"/>
      <c r="O31" s="29"/>
      <c r="P31" s="29"/>
      <c r="Q31" s="29"/>
      <c r="R31" s="29"/>
      <c r="S31" s="29"/>
      <c r="T31" s="29"/>
      <c r="U31" s="29"/>
      <c r="V31" s="29"/>
      <c r="W31" s="29"/>
      <c r="X31" s="29"/>
      <c r="Y31" s="29"/>
      <c r="Z31" s="29"/>
      <c r="AP31"/>
      <c r="AQ31"/>
      <c r="AR31"/>
      <c r="AS31"/>
      <c r="AT31"/>
      <c r="BJ31"/>
      <c r="BK31"/>
      <c r="BL31"/>
      <c r="BM31"/>
      <c r="BN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row>
    <row r="32" spans="2:176" s="2" customFormat="1" ht="15.75" customHeight="1" x14ac:dyDescent="0.2">
      <c r="B32" s="154"/>
      <c r="C32" s="380"/>
      <c r="D32" s="380"/>
      <c r="E32" s="154"/>
      <c r="F32" s="154"/>
      <c r="G32" s="387"/>
      <c r="H32" s="387"/>
      <c r="I32" s="387"/>
      <c r="J32" s="387"/>
      <c r="K32" s="353" t="s">
        <v>52</v>
      </c>
      <c r="L32" s="27"/>
      <c r="M32" s="27"/>
      <c r="N32" s="27"/>
      <c r="O32" s="27"/>
      <c r="P32" s="27"/>
      <c r="Q32" s="27"/>
      <c r="R32" s="27"/>
      <c r="S32" s="27"/>
      <c r="T32" s="27"/>
      <c r="U32" s="27"/>
      <c r="V32" s="27"/>
      <c r="W32" s="27"/>
      <c r="X32" s="27"/>
      <c r="Y32" s="27"/>
      <c r="Z32" s="27"/>
      <c r="AP32"/>
      <c r="AQ32"/>
      <c r="AR32"/>
      <c r="AS32"/>
      <c r="AT32"/>
      <c r="BJ32"/>
      <c r="BK32"/>
      <c r="BL32"/>
      <c r="BM32"/>
      <c r="BN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row>
    <row r="33" spans="2:176" s="2" customFormat="1" ht="15.75" customHeight="1" x14ac:dyDescent="0.2">
      <c r="B33" s="1"/>
      <c r="C33" s="3"/>
      <c r="D33" s="3"/>
      <c r="E33" s="1"/>
      <c r="F33" s="1"/>
      <c r="G33" s="1"/>
      <c r="H33" s="1"/>
      <c r="I33" s="1"/>
      <c r="J33" s="1"/>
      <c r="K33" s="353" t="s">
        <v>52</v>
      </c>
      <c r="L33" s="1"/>
      <c r="M33" s="1"/>
      <c r="N33" s="1"/>
      <c r="O33" s="1"/>
      <c r="P33" s="1"/>
      <c r="Q33" s="1"/>
      <c r="R33" s="1"/>
      <c r="S33" s="1"/>
      <c r="T33" s="1"/>
      <c r="U33" s="1"/>
      <c r="V33" s="1"/>
      <c r="W33" s="1"/>
      <c r="X33" s="1"/>
      <c r="Y33" s="6"/>
      <c r="Z33" s="1"/>
      <c r="AP33"/>
      <c r="AQ33"/>
      <c r="AR33"/>
      <c r="AS33"/>
      <c r="AT33"/>
      <c r="BJ33"/>
      <c r="BK33"/>
      <c r="BL33"/>
      <c r="BM33"/>
      <c r="BN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row>
    <row r="34" spans="2:176" s="2" customFormat="1" ht="15.75" customHeight="1" x14ac:dyDescent="0.2">
      <c r="B34" s="1"/>
      <c r="C34" s="3"/>
      <c r="D34" s="3"/>
      <c r="E34" s="1"/>
      <c r="F34" s="1"/>
      <c r="G34" s="1"/>
      <c r="H34" s="1"/>
      <c r="I34" s="1"/>
      <c r="J34" s="1"/>
      <c r="K34" s="353" t="s">
        <v>52</v>
      </c>
      <c r="L34" s="1"/>
      <c r="M34" s="1"/>
      <c r="N34" s="1"/>
      <c r="O34" s="1"/>
      <c r="P34" s="1"/>
      <c r="Q34" s="1"/>
      <c r="R34" s="1"/>
      <c r="S34" s="1"/>
      <c r="T34" s="1"/>
      <c r="U34" s="1"/>
      <c r="V34" s="1"/>
      <c r="W34" s="1"/>
      <c r="X34" s="1"/>
      <c r="Y34" s="6"/>
      <c r="Z34" s="1"/>
      <c r="AP34"/>
      <c r="AQ34"/>
      <c r="AR34"/>
      <c r="AS34"/>
      <c r="AT34"/>
      <c r="BJ34"/>
      <c r="BK34"/>
      <c r="BL34"/>
      <c r="BM34"/>
      <c r="BN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row>
    <row r="35" spans="2:176" s="2" customFormat="1" ht="15.75" customHeight="1" x14ac:dyDescent="0.2">
      <c r="B35" s="1"/>
      <c r="C35" s="3"/>
      <c r="D35" s="3"/>
      <c r="E35" s="1"/>
      <c r="F35" s="1"/>
      <c r="G35" s="1"/>
      <c r="H35" s="1"/>
      <c r="I35" s="1"/>
      <c r="J35" s="1"/>
      <c r="K35" s="352" t="s">
        <v>52</v>
      </c>
      <c r="L35" s="1"/>
      <c r="M35" s="1"/>
      <c r="N35" s="1"/>
      <c r="O35" s="1"/>
      <c r="P35" s="1"/>
      <c r="Q35" s="1"/>
      <c r="R35" s="1"/>
      <c r="S35" s="1"/>
      <c r="T35" s="1"/>
      <c r="U35" s="1"/>
      <c r="V35" s="1"/>
      <c r="W35" s="1"/>
      <c r="X35" s="1"/>
      <c r="Y35" s="6"/>
      <c r="Z35" s="1"/>
      <c r="AP35"/>
      <c r="AQ35"/>
      <c r="AR35"/>
      <c r="AS35"/>
      <c r="AT35"/>
      <c r="BJ35"/>
      <c r="BK35"/>
      <c r="BL35"/>
      <c r="BM35"/>
      <c r="BN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row>
    <row r="36" spans="2:176" s="2" customFormat="1" ht="15.75" customHeight="1" x14ac:dyDescent="0.2">
      <c r="B36" s="1"/>
      <c r="C36" s="3"/>
      <c r="D36" s="3"/>
      <c r="E36" s="1"/>
      <c r="F36" s="1"/>
      <c r="G36" s="1"/>
      <c r="H36" s="1"/>
      <c r="I36" s="1"/>
      <c r="J36" s="1"/>
      <c r="K36" s="353" t="s">
        <v>52</v>
      </c>
      <c r="L36" s="1"/>
      <c r="M36" s="1"/>
      <c r="N36" s="1"/>
      <c r="O36" s="1"/>
      <c r="P36" s="1"/>
      <c r="Q36" s="1"/>
      <c r="R36" s="1"/>
      <c r="S36" s="1"/>
      <c r="T36" s="1"/>
      <c r="U36" s="1"/>
      <c r="V36" s="1"/>
      <c r="W36" s="1"/>
      <c r="X36" s="1"/>
      <c r="Y36" s="6"/>
      <c r="Z36" s="1"/>
      <c r="AP36"/>
      <c r="AQ36"/>
      <c r="AR36"/>
      <c r="AS36"/>
      <c r="AT36"/>
      <c r="BJ36"/>
      <c r="BK36"/>
      <c r="BL36"/>
      <c r="BM36"/>
      <c r="BN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row>
    <row r="37" spans="2:176" s="2" customFormat="1" ht="15.75" customHeight="1" x14ac:dyDescent="0.2">
      <c r="B37" s="1"/>
      <c r="C37" s="3"/>
      <c r="D37" s="3"/>
      <c r="E37" s="1"/>
      <c r="F37" s="1"/>
      <c r="G37" s="1"/>
      <c r="H37" s="1"/>
      <c r="I37" s="1"/>
      <c r="J37" s="1"/>
      <c r="K37" s="353" t="s">
        <v>52</v>
      </c>
      <c r="L37" s="1"/>
      <c r="M37" s="1"/>
      <c r="N37" s="1"/>
      <c r="O37" s="1"/>
      <c r="P37" s="1"/>
      <c r="Q37" s="1"/>
      <c r="R37" s="1"/>
      <c r="S37" s="1"/>
      <c r="T37" s="1"/>
      <c r="U37" s="1"/>
      <c r="V37" s="1"/>
      <c r="W37" s="1"/>
      <c r="X37" s="1"/>
      <c r="Y37" s="6"/>
      <c r="Z37" s="1"/>
      <c r="AP37"/>
      <c r="AQ37"/>
      <c r="AR37"/>
      <c r="AS37"/>
      <c r="AT37"/>
      <c r="BJ37"/>
      <c r="BK37"/>
      <c r="BL37"/>
      <c r="BM37"/>
      <c r="BN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row>
    <row r="38" spans="2:176" s="2" customFormat="1" ht="15.75" customHeight="1" x14ac:dyDescent="0.2">
      <c r="B38" s="1"/>
      <c r="C38" s="3"/>
      <c r="D38" s="3"/>
      <c r="E38" s="1"/>
      <c r="F38" s="1"/>
      <c r="G38" s="1"/>
      <c r="H38" s="1"/>
      <c r="I38" s="1"/>
      <c r="J38" s="1"/>
      <c r="K38" s="353" t="s">
        <v>52</v>
      </c>
      <c r="L38" s="1"/>
      <c r="M38" s="1"/>
      <c r="N38" s="1"/>
      <c r="O38" s="1"/>
      <c r="P38" s="1"/>
      <c r="Q38" s="1"/>
      <c r="R38" s="1"/>
      <c r="S38" s="1"/>
      <c r="T38" s="1"/>
      <c r="U38" s="1"/>
      <c r="V38" s="1"/>
      <c r="W38" s="1"/>
      <c r="X38" s="1"/>
      <c r="Y38" s="6"/>
      <c r="Z38" s="1"/>
      <c r="AP38"/>
      <c r="AQ38"/>
      <c r="AR38"/>
      <c r="AS38"/>
      <c r="AT38"/>
      <c r="BJ38"/>
      <c r="BK38"/>
      <c r="BL38"/>
      <c r="BM38"/>
      <c r="BN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row>
    <row r="39" spans="2:176" s="2" customFormat="1" ht="15.75" customHeight="1" x14ac:dyDescent="0.2">
      <c r="B39" s="3"/>
      <c r="C39" s="3"/>
      <c r="D39" s="3"/>
      <c r="E39" s="3"/>
      <c r="F39" s="3"/>
      <c r="G39" s="1"/>
      <c r="H39" s="1"/>
      <c r="I39" s="1"/>
      <c r="J39" s="1"/>
      <c r="K39" s="353" t="s">
        <v>52</v>
      </c>
      <c r="L39" s="1"/>
      <c r="M39" s="1"/>
      <c r="N39" s="1"/>
      <c r="O39" s="1"/>
      <c r="P39" s="1"/>
      <c r="Q39" s="1"/>
      <c r="R39" s="1"/>
      <c r="S39" s="1"/>
      <c r="T39" s="1"/>
      <c r="U39" s="1"/>
      <c r="V39" s="1"/>
      <c r="W39" s="1"/>
      <c r="X39" s="1"/>
      <c r="Y39" s="6"/>
      <c r="Z39" s="1"/>
      <c r="AP39"/>
      <c r="AQ39"/>
      <c r="AR39"/>
      <c r="AS39"/>
      <c r="AT39"/>
      <c r="BJ39"/>
      <c r="BK39"/>
      <c r="BL39"/>
      <c r="BM39"/>
      <c r="BN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row>
    <row r="40" spans="2:176" s="2" customFormat="1" ht="15.75" customHeight="1" x14ac:dyDescent="0.2">
      <c r="B40" s="1"/>
      <c r="C40" s="3"/>
      <c r="D40" s="3"/>
      <c r="E40" s="1"/>
      <c r="F40" s="1"/>
      <c r="G40" s="1"/>
      <c r="H40" s="1"/>
      <c r="I40" s="1"/>
      <c r="J40" s="1"/>
      <c r="K40" s="353" t="s">
        <v>52</v>
      </c>
      <c r="L40" s="1"/>
      <c r="M40" s="1"/>
      <c r="N40" s="1"/>
      <c r="O40" s="1"/>
      <c r="P40" s="1"/>
      <c r="Q40" s="1"/>
      <c r="R40" s="1"/>
      <c r="S40" s="1"/>
      <c r="T40" s="1"/>
      <c r="U40" s="1"/>
      <c r="V40" s="1"/>
      <c r="W40" s="1"/>
      <c r="X40" s="1"/>
      <c r="Y40" s="6"/>
      <c r="Z40" s="1"/>
      <c r="AP40"/>
      <c r="AQ40"/>
      <c r="AR40"/>
      <c r="AS40"/>
      <c r="AT40"/>
      <c r="BJ40"/>
      <c r="BK40"/>
      <c r="BL40"/>
      <c r="BM40"/>
      <c r="BN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row>
    <row r="41" spans="2:176" s="2" customFormat="1" ht="15.75" customHeight="1" x14ac:dyDescent="0.2">
      <c r="B41" s="1"/>
      <c r="C41" s="3"/>
      <c r="D41" s="3"/>
      <c r="E41" s="1"/>
      <c r="F41" s="1"/>
      <c r="G41" s="1"/>
      <c r="H41" s="1"/>
      <c r="I41" s="1"/>
      <c r="J41" s="1"/>
      <c r="K41" s="353" t="s">
        <v>52</v>
      </c>
      <c r="L41" s="1"/>
      <c r="M41" s="1"/>
      <c r="N41" s="1"/>
      <c r="O41" s="1"/>
      <c r="P41" s="1"/>
      <c r="Q41" s="1"/>
      <c r="R41" s="1"/>
      <c r="S41" s="1"/>
      <c r="T41" s="1"/>
      <c r="U41" s="1"/>
      <c r="V41" s="1"/>
      <c r="W41" s="1"/>
      <c r="X41" s="1"/>
      <c r="Y41" s="6"/>
      <c r="Z41" s="1"/>
      <c r="AP41"/>
      <c r="AQ41"/>
      <c r="AR41"/>
      <c r="AS41"/>
      <c r="AT41"/>
      <c r="BJ41"/>
      <c r="BK41"/>
      <c r="BL41"/>
      <c r="BM41"/>
      <c r="BN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row>
    <row r="42" spans="2:176" s="2" customFormat="1" ht="15.75" customHeight="1" x14ac:dyDescent="0.2">
      <c r="B42" s="1"/>
      <c r="C42" s="3"/>
      <c r="D42" s="3"/>
      <c r="E42" s="1"/>
      <c r="F42" s="1"/>
      <c r="G42" s="1"/>
      <c r="H42" s="1"/>
      <c r="I42" s="1"/>
      <c r="J42" s="1"/>
      <c r="K42" s="353" t="s">
        <v>52</v>
      </c>
      <c r="L42" s="1"/>
      <c r="M42" s="1"/>
      <c r="N42" s="1"/>
      <c r="O42" s="1"/>
      <c r="P42" s="1"/>
      <c r="Q42" s="1"/>
      <c r="R42" s="1"/>
      <c r="S42" s="1"/>
      <c r="T42" s="1"/>
      <c r="U42" s="1"/>
      <c r="V42" s="1"/>
      <c r="W42" s="1"/>
      <c r="X42" s="1"/>
      <c r="Y42" s="6"/>
      <c r="Z42" s="1"/>
      <c r="AP42"/>
      <c r="AQ42"/>
      <c r="AR42"/>
      <c r="AS42"/>
      <c r="AT42"/>
      <c r="BJ42"/>
      <c r="BK42"/>
      <c r="BL42"/>
      <c r="BM42"/>
      <c r="BN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row>
    <row r="43" spans="2:176" s="2" customFormat="1" ht="15.75" customHeight="1" x14ac:dyDescent="0.2">
      <c r="B43" s="1"/>
      <c r="C43" s="3"/>
      <c r="D43" s="3"/>
      <c r="E43" s="1"/>
      <c r="F43" s="1"/>
      <c r="G43" s="1"/>
      <c r="H43" s="1"/>
      <c r="I43" s="1"/>
      <c r="J43" s="1"/>
      <c r="K43" s="353" t="s">
        <v>52</v>
      </c>
      <c r="L43" s="1"/>
      <c r="M43" s="1"/>
      <c r="N43" s="1"/>
      <c r="O43" s="1"/>
      <c r="P43" s="1"/>
      <c r="Q43" s="1"/>
      <c r="R43" s="1"/>
      <c r="S43" s="1"/>
      <c r="T43" s="1"/>
      <c r="U43" s="1"/>
      <c r="V43" s="1"/>
      <c r="W43" s="1"/>
      <c r="X43" s="1"/>
      <c r="Y43" s="6"/>
      <c r="Z43" s="1"/>
      <c r="AP43"/>
      <c r="AQ43"/>
      <c r="AR43"/>
      <c r="AS43"/>
      <c r="AT43"/>
      <c r="BJ43"/>
      <c r="BK43"/>
      <c r="BL43"/>
      <c r="BM43"/>
      <c r="BN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row>
    <row r="44" spans="2:176" s="2" customFormat="1" ht="15.75" customHeight="1" x14ac:dyDescent="0.2">
      <c r="B44" s="1"/>
      <c r="C44" s="3"/>
      <c r="D44" s="3"/>
      <c r="E44" s="1"/>
      <c r="F44" s="1"/>
      <c r="G44" s="1"/>
      <c r="H44" s="1"/>
      <c r="I44" s="1"/>
      <c r="J44" s="1"/>
      <c r="K44" s="353" t="s">
        <v>52</v>
      </c>
      <c r="L44" s="1"/>
      <c r="M44" s="1"/>
      <c r="N44" s="1"/>
      <c r="O44" s="1"/>
      <c r="P44" s="1"/>
      <c r="Q44" s="1"/>
      <c r="R44" s="1"/>
      <c r="S44" s="1"/>
      <c r="T44" s="1"/>
      <c r="U44" s="1"/>
      <c r="V44" s="1"/>
      <c r="W44" s="1"/>
      <c r="X44" s="1"/>
      <c r="Y44" s="6"/>
      <c r="Z44" s="1"/>
      <c r="AP44"/>
      <c r="AQ44"/>
      <c r="AR44"/>
      <c r="AS44"/>
      <c r="AT44"/>
      <c r="BJ44"/>
      <c r="BK44"/>
      <c r="BL44"/>
      <c r="BM44"/>
      <c r="BN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row>
    <row r="45" spans="2:176" s="2" customFormat="1" ht="15.75" customHeight="1" x14ac:dyDescent="0.2">
      <c r="B45" s="1"/>
      <c r="C45" s="3"/>
      <c r="D45" s="3"/>
      <c r="E45" s="1"/>
      <c r="F45" s="1"/>
      <c r="G45" s="3"/>
      <c r="H45" s="3"/>
      <c r="I45" s="3"/>
      <c r="J45" s="3"/>
      <c r="K45" s="354" t="s">
        <v>52</v>
      </c>
      <c r="L45" s="3"/>
      <c r="M45" s="3"/>
      <c r="N45" s="3"/>
      <c r="O45" s="3"/>
      <c r="P45" s="3"/>
      <c r="Q45" s="3"/>
      <c r="R45" s="3"/>
      <c r="S45" s="3"/>
      <c r="T45" s="3"/>
      <c r="U45" s="3"/>
      <c r="V45" s="3"/>
      <c r="W45" s="3"/>
      <c r="X45" s="3"/>
      <c r="Y45" s="4"/>
      <c r="Z45" s="3"/>
      <c r="AP45"/>
      <c r="AQ45"/>
      <c r="AR45"/>
      <c r="AS45"/>
      <c r="AT45"/>
      <c r="BJ45"/>
      <c r="BK45"/>
      <c r="BL45"/>
      <c r="BM45"/>
      <c r="BN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row>
    <row r="46" spans="2:176" s="2" customFormat="1" ht="15.75" customHeight="1" x14ac:dyDescent="0.2">
      <c r="B46" s="1"/>
      <c r="C46" s="3"/>
      <c r="D46" s="3"/>
      <c r="E46" s="1"/>
      <c r="F46" s="1"/>
      <c r="G46" s="1"/>
      <c r="H46" s="1"/>
      <c r="I46" s="1"/>
      <c r="J46" s="1"/>
      <c r="K46" s="354" t="s">
        <v>52</v>
      </c>
      <c r="L46" s="1"/>
      <c r="M46" s="1"/>
      <c r="N46" s="1"/>
      <c r="O46" s="1"/>
      <c r="P46" s="1"/>
      <c r="Q46" s="1"/>
      <c r="R46" s="1"/>
      <c r="S46" s="1"/>
      <c r="T46" s="1"/>
      <c r="U46" s="1"/>
      <c r="V46" s="1"/>
      <c r="W46" s="1"/>
      <c r="X46" s="1"/>
      <c r="Y46" s="6"/>
      <c r="Z46" s="1"/>
      <c r="AP46"/>
      <c r="AQ46"/>
      <c r="AR46"/>
      <c r="AS46"/>
      <c r="AT46"/>
      <c r="BJ46"/>
      <c r="BK46"/>
      <c r="BL46"/>
      <c r="BM46"/>
      <c r="BN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row>
    <row r="47" spans="2:176" s="2" customFormat="1" ht="15.75" customHeight="1" x14ac:dyDescent="0.2">
      <c r="B47" s="1"/>
      <c r="C47" s="3"/>
      <c r="D47" s="3"/>
      <c r="E47" s="1"/>
      <c r="F47" s="1"/>
      <c r="G47" s="1"/>
      <c r="H47" s="1"/>
      <c r="I47" s="1"/>
      <c r="J47" s="1"/>
      <c r="K47" s="354"/>
      <c r="L47" s="1"/>
      <c r="M47" s="1"/>
      <c r="N47" s="1"/>
      <c r="O47" s="1"/>
      <c r="P47" s="1"/>
      <c r="Q47" s="1"/>
      <c r="R47" s="1"/>
      <c r="S47" s="1"/>
      <c r="T47" s="1"/>
      <c r="U47" s="1"/>
      <c r="V47" s="1"/>
      <c r="W47" s="1"/>
      <c r="X47" s="1"/>
      <c r="Y47" s="6"/>
      <c r="Z47" s="1"/>
      <c r="AP47"/>
      <c r="AQ47"/>
      <c r="AR47"/>
      <c r="AS47"/>
      <c r="AT47"/>
      <c r="BJ47"/>
      <c r="BK47"/>
      <c r="BL47"/>
      <c r="BM47"/>
      <c r="BN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row>
    <row r="48" spans="2:176" s="2" customFormat="1" ht="15.75" customHeight="1" x14ac:dyDescent="0.2">
      <c r="B48" s="1"/>
      <c r="C48" s="3"/>
      <c r="D48" s="3"/>
      <c r="E48" s="1"/>
      <c r="F48" s="1"/>
      <c r="G48" s="1"/>
      <c r="H48" s="1"/>
      <c r="I48" s="1"/>
      <c r="J48" s="1"/>
      <c r="K48" s="354"/>
      <c r="L48" s="1"/>
      <c r="M48" s="1"/>
      <c r="N48" s="1"/>
      <c r="O48" s="1"/>
      <c r="P48" s="1"/>
      <c r="Q48" s="1"/>
      <c r="R48" s="1"/>
      <c r="S48" s="1"/>
      <c r="T48" s="1"/>
      <c r="U48" s="1"/>
      <c r="V48" s="1"/>
      <c r="W48" s="1"/>
      <c r="X48" s="1"/>
      <c r="Y48" s="6"/>
      <c r="Z48" s="1"/>
      <c r="AP48"/>
      <c r="AQ48"/>
      <c r="AR48"/>
      <c r="AS48"/>
      <c r="AT48"/>
      <c r="BJ48"/>
      <c r="BK48"/>
      <c r="BL48"/>
      <c r="BM48"/>
      <c r="BN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row>
    <row r="55" spans="2:176" s="2" customFormat="1" ht="15.75" customHeight="1" x14ac:dyDescent="0.25">
      <c r="B55" s="1"/>
      <c r="C55" s="3"/>
      <c r="D55" s="3"/>
      <c r="E55" s="133"/>
      <c r="F55" s="133"/>
      <c r="G55" s="134"/>
      <c r="H55" s="135"/>
      <c r="I55" s="134"/>
      <c r="J55" s="133"/>
      <c r="K55" s="134"/>
      <c r="L55" s="133"/>
      <c r="M55" s="134"/>
      <c r="N55" s="133"/>
      <c r="O55" s="134"/>
      <c r="P55" s="133"/>
      <c r="Q55" s="134"/>
      <c r="R55"/>
      <c r="S55"/>
      <c r="T55"/>
      <c r="U55"/>
      <c r="V55"/>
      <c r="W55"/>
      <c r="X55"/>
      <c r="Y55" s="166"/>
      <c r="Z55"/>
      <c r="AA55"/>
      <c r="AB55"/>
      <c r="AC55"/>
      <c r="AP55"/>
      <c r="AQ55"/>
      <c r="AR55"/>
      <c r="AS55"/>
      <c r="AT55"/>
      <c r="BJ55"/>
      <c r="BK55"/>
      <c r="BL55"/>
      <c r="BM55"/>
      <c r="BN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row>
  </sheetData>
  <hyperlinks>
    <hyperlink ref="C11" r:id="rId1"/>
    <hyperlink ref="C12" r:id="rId2"/>
    <hyperlink ref="C19" r:id="rId3"/>
    <hyperlink ref="C15" r:id="rId4" location="market-users"/>
  </hyperlinks>
  <pageMargins left="0.78740157499999996" right="0.78740157499999996" top="0.984251969" bottom="0.984251969" header="0.4921259845" footer="0.4921259845"/>
  <pageSetup paperSize="9" scale="61" orientation="landscape" r:id="rId5"/>
  <headerFooter alignWithMargins="0"/>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260"/>
  <sheetViews>
    <sheetView zoomScale="120" zoomScaleNormal="120" workbookViewId="0">
      <pane ySplit="1" topLeftCell="A2" activePane="bottomLeft" state="frozen"/>
      <selection pane="bottomLeft" activeCell="A57" sqref="A57"/>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34" t="s">
        <v>171</v>
      </c>
      <c r="B1" s="636" t="s">
        <v>172</v>
      </c>
      <c r="C1" s="637"/>
      <c r="D1" s="638" t="s">
        <v>150</v>
      </c>
      <c r="E1" s="639"/>
      <c r="F1" s="627" t="s">
        <v>212</v>
      </c>
      <c r="G1" s="628"/>
      <c r="H1" s="628"/>
      <c r="I1" s="629"/>
      <c r="J1" s="44">
        <v>2019</v>
      </c>
      <c r="K1" s="627" t="s">
        <v>213</v>
      </c>
      <c r="L1" s="628"/>
      <c r="M1" s="628"/>
      <c r="N1" s="629"/>
      <c r="O1" s="44">
        <v>2020</v>
      </c>
      <c r="P1" s="627" t="s">
        <v>253</v>
      </c>
      <c r="Q1" s="628"/>
      <c r="R1" s="628"/>
      <c r="S1" s="629"/>
      <c r="T1" s="94">
        <v>2021</v>
      </c>
      <c r="U1" s="164">
        <v>2022</v>
      </c>
      <c r="V1" s="44">
        <v>2023</v>
      </c>
      <c r="W1" s="165">
        <v>2024</v>
      </c>
      <c r="X1" s="170"/>
      <c r="Y1" s="511" t="s">
        <v>270</v>
      </c>
      <c r="Z1" s="38">
        <v>2019</v>
      </c>
      <c r="AA1" s="38">
        <v>2019</v>
      </c>
      <c r="AB1" s="38">
        <v>2019</v>
      </c>
      <c r="AC1" s="44" t="s">
        <v>11</v>
      </c>
      <c r="AD1" s="44" t="s">
        <v>11</v>
      </c>
      <c r="AE1" s="38">
        <v>2019</v>
      </c>
      <c r="AF1" s="38">
        <v>2019</v>
      </c>
      <c r="AG1" s="38">
        <v>2019</v>
      </c>
      <c r="AH1" s="44" t="s">
        <v>12</v>
      </c>
      <c r="AI1" s="44" t="s">
        <v>12</v>
      </c>
      <c r="AJ1" s="38">
        <v>2019</v>
      </c>
      <c r="AK1" s="38">
        <v>2019</v>
      </c>
      <c r="AL1" s="38">
        <v>2019</v>
      </c>
      <c r="AM1" s="44" t="s">
        <v>13</v>
      </c>
      <c r="AN1" s="44" t="s">
        <v>13</v>
      </c>
      <c r="AO1" s="38">
        <v>2019</v>
      </c>
      <c r="AP1" s="38">
        <v>2019</v>
      </c>
      <c r="AQ1" s="38">
        <v>2019</v>
      </c>
      <c r="AR1" s="44" t="s">
        <v>10</v>
      </c>
      <c r="AS1" s="44" t="s">
        <v>10</v>
      </c>
      <c r="AT1" s="38">
        <v>2020</v>
      </c>
      <c r="AU1" s="37">
        <v>2020</v>
      </c>
      <c r="AV1" s="37">
        <v>2020</v>
      </c>
      <c r="AW1" s="44" t="s">
        <v>9</v>
      </c>
      <c r="AX1" s="44" t="s">
        <v>9</v>
      </c>
      <c r="AY1" s="37">
        <v>2020</v>
      </c>
      <c r="AZ1" s="37">
        <v>2020</v>
      </c>
      <c r="BA1" s="37">
        <v>2020</v>
      </c>
      <c r="BB1" s="44" t="s">
        <v>8</v>
      </c>
      <c r="BC1" s="44" t="s">
        <v>8</v>
      </c>
      <c r="BD1" s="37">
        <v>2020</v>
      </c>
      <c r="BE1" s="37">
        <v>2020</v>
      </c>
      <c r="BF1" s="37">
        <v>2020</v>
      </c>
      <c r="BG1" s="44" t="s">
        <v>15</v>
      </c>
      <c r="BH1" s="44" t="s">
        <v>15</v>
      </c>
      <c r="BI1" s="39">
        <v>2020</v>
      </c>
      <c r="BJ1" s="39">
        <v>2020</v>
      </c>
      <c r="BK1" s="39">
        <v>2020</v>
      </c>
      <c r="BL1" s="44" t="s">
        <v>16</v>
      </c>
      <c r="BM1" s="44" t="s">
        <v>16</v>
      </c>
      <c r="BN1" s="39">
        <v>2021</v>
      </c>
      <c r="BO1" s="39">
        <v>2021</v>
      </c>
      <c r="BP1" s="39">
        <v>2021</v>
      </c>
      <c r="BQ1" s="44" t="s">
        <v>256</v>
      </c>
      <c r="BR1" s="44" t="s">
        <v>256</v>
      </c>
      <c r="BS1" s="39">
        <v>2021</v>
      </c>
      <c r="BT1" s="39">
        <v>2021</v>
      </c>
      <c r="BU1" s="39">
        <v>2021</v>
      </c>
      <c r="BV1" s="44" t="s">
        <v>257</v>
      </c>
      <c r="BW1" s="44" t="s">
        <v>257</v>
      </c>
      <c r="BX1" s="39">
        <v>2021</v>
      </c>
      <c r="BY1" s="39">
        <v>2021</v>
      </c>
      <c r="BZ1" s="39">
        <v>2021</v>
      </c>
      <c r="CA1" s="44" t="s">
        <v>258</v>
      </c>
      <c r="CB1" s="44" t="s">
        <v>258</v>
      </c>
      <c r="CC1" s="39">
        <v>2021</v>
      </c>
      <c r="CD1" s="39">
        <v>2021</v>
      </c>
      <c r="CE1" s="39">
        <v>2021</v>
      </c>
      <c r="CF1" s="44" t="s">
        <v>255</v>
      </c>
      <c r="CG1" s="44" t="s">
        <v>255</v>
      </c>
    </row>
    <row r="2" spans="1:175" s="2" customFormat="1" ht="10.5" customHeight="1" thickBot="1" x14ac:dyDescent="0.25">
      <c r="A2" s="635"/>
      <c r="B2" s="630" t="s">
        <v>150</v>
      </c>
      <c r="C2" s="631"/>
      <c r="D2" s="632" t="s">
        <v>173</v>
      </c>
      <c r="E2" s="633"/>
      <c r="F2" s="93" t="s">
        <v>53</v>
      </c>
      <c r="G2" s="90" t="s">
        <v>54</v>
      </c>
      <c r="H2" s="90" t="s">
        <v>6</v>
      </c>
      <c r="I2" s="91" t="s">
        <v>7</v>
      </c>
      <c r="J2" s="92" t="s">
        <v>214</v>
      </c>
      <c r="K2" s="93" t="s">
        <v>4</v>
      </c>
      <c r="L2" s="90" t="s">
        <v>5</v>
      </c>
      <c r="M2" s="90" t="s">
        <v>6</v>
      </c>
      <c r="N2" s="91" t="s">
        <v>7</v>
      </c>
      <c r="O2" s="92" t="s">
        <v>214</v>
      </c>
      <c r="P2" s="93" t="s">
        <v>4</v>
      </c>
      <c r="Q2" s="90" t="s">
        <v>5</v>
      </c>
      <c r="R2" s="90" t="s">
        <v>6</v>
      </c>
      <c r="S2" s="91" t="s">
        <v>7</v>
      </c>
      <c r="T2" s="156" t="s">
        <v>214</v>
      </c>
      <c r="U2" s="640" t="s">
        <v>254</v>
      </c>
      <c r="V2" s="641"/>
      <c r="W2" s="642"/>
      <c r="X2" s="171"/>
      <c r="Y2" s="512" t="s">
        <v>215</v>
      </c>
      <c r="Z2" s="47" t="s">
        <v>216</v>
      </c>
      <c r="AA2" s="48" t="s">
        <v>224</v>
      </c>
      <c r="AB2" s="48" t="s">
        <v>217</v>
      </c>
      <c r="AC2" s="49" t="s">
        <v>223</v>
      </c>
      <c r="AD2" s="49" t="s">
        <v>14</v>
      </c>
      <c r="AE2" s="48" t="s">
        <v>0</v>
      </c>
      <c r="AF2" s="48" t="s">
        <v>218</v>
      </c>
      <c r="AG2" s="48" t="s">
        <v>219</v>
      </c>
      <c r="AH2" s="49" t="s">
        <v>223</v>
      </c>
      <c r="AI2" s="49" t="s">
        <v>14</v>
      </c>
      <c r="AJ2" s="48" t="s">
        <v>220</v>
      </c>
      <c r="AK2" s="48" t="s">
        <v>1</v>
      </c>
      <c r="AL2" s="48" t="s">
        <v>2</v>
      </c>
      <c r="AM2" s="49" t="s">
        <v>223</v>
      </c>
      <c r="AN2" s="49" t="s">
        <v>14</v>
      </c>
      <c r="AO2" s="48" t="s">
        <v>221</v>
      </c>
      <c r="AP2" s="48" t="s">
        <v>3</v>
      </c>
      <c r="AQ2" s="48" t="s">
        <v>222</v>
      </c>
      <c r="AR2" s="49" t="s">
        <v>223</v>
      </c>
      <c r="AS2" s="49" t="s">
        <v>14</v>
      </c>
      <c r="AT2" s="47" t="s">
        <v>216</v>
      </c>
      <c r="AU2" s="48" t="s">
        <v>224</v>
      </c>
      <c r="AV2" s="48" t="s">
        <v>217</v>
      </c>
      <c r="AW2" s="49" t="s">
        <v>223</v>
      </c>
      <c r="AX2" s="49" t="s">
        <v>14</v>
      </c>
      <c r="AY2" s="48" t="s">
        <v>0</v>
      </c>
      <c r="AZ2" s="48" t="s">
        <v>218</v>
      </c>
      <c r="BA2" s="48" t="s">
        <v>219</v>
      </c>
      <c r="BB2" s="49" t="s">
        <v>223</v>
      </c>
      <c r="BC2" s="49" t="s">
        <v>14</v>
      </c>
      <c r="BD2" s="48" t="s">
        <v>220</v>
      </c>
      <c r="BE2" s="48" t="s">
        <v>1</v>
      </c>
      <c r="BF2" s="48" t="s">
        <v>2</v>
      </c>
      <c r="BG2" s="49" t="s">
        <v>223</v>
      </c>
      <c r="BH2" s="49" t="s">
        <v>14</v>
      </c>
      <c r="BI2" s="48" t="s">
        <v>221</v>
      </c>
      <c r="BJ2" s="48" t="s">
        <v>3</v>
      </c>
      <c r="BK2" s="48" t="s">
        <v>222</v>
      </c>
      <c r="BL2" s="49" t="s">
        <v>223</v>
      </c>
      <c r="BM2" s="49" t="s">
        <v>14</v>
      </c>
      <c r="BN2" s="47" t="s">
        <v>216</v>
      </c>
      <c r="BO2" s="48" t="s">
        <v>224</v>
      </c>
      <c r="BP2" s="48" t="s">
        <v>217</v>
      </c>
      <c r="BQ2" s="49" t="s">
        <v>223</v>
      </c>
      <c r="BR2" s="49" t="s">
        <v>14</v>
      </c>
      <c r="BS2" s="48" t="s">
        <v>0</v>
      </c>
      <c r="BT2" s="48" t="s">
        <v>218</v>
      </c>
      <c r="BU2" s="48" t="s">
        <v>219</v>
      </c>
      <c r="BV2" s="49" t="s">
        <v>223</v>
      </c>
      <c r="BW2" s="49" t="s">
        <v>14</v>
      </c>
      <c r="BX2" s="48" t="s">
        <v>220</v>
      </c>
      <c r="BY2" s="48" t="s">
        <v>1</v>
      </c>
      <c r="BZ2" s="48" t="s">
        <v>2</v>
      </c>
      <c r="CA2" s="49" t="s">
        <v>223</v>
      </c>
      <c r="CB2" s="49" t="s">
        <v>14</v>
      </c>
      <c r="CC2" s="48" t="s">
        <v>221</v>
      </c>
      <c r="CD2" s="48" t="s">
        <v>3</v>
      </c>
      <c r="CE2" s="48" t="s">
        <v>222</v>
      </c>
      <c r="CF2" s="49" t="s">
        <v>223</v>
      </c>
      <c r="CG2" s="49" t="s">
        <v>14</v>
      </c>
    </row>
    <row r="3" spans="1:175" s="34" customFormat="1" ht="10.5" customHeight="1" x14ac:dyDescent="0.15">
      <c r="A3" s="50" t="s">
        <v>174</v>
      </c>
      <c r="B3" s="287"/>
      <c r="C3" s="288"/>
      <c r="D3" s="287"/>
      <c r="E3" s="289"/>
      <c r="F3" s="227"/>
      <c r="G3" s="206"/>
      <c r="H3" s="206"/>
      <c r="I3" s="206"/>
      <c r="J3" s="248"/>
      <c r="K3" s="206"/>
      <c r="L3" s="206"/>
      <c r="M3" s="206"/>
      <c r="N3" s="206"/>
      <c r="O3" s="316"/>
      <c r="P3" s="206"/>
      <c r="Q3" s="206"/>
      <c r="R3" s="206"/>
      <c r="S3" s="206"/>
      <c r="T3" s="246"/>
      <c r="U3" s="247"/>
      <c r="V3" s="248"/>
      <c r="W3" s="249"/>
      <c r="X3" s="209"/>
      <c r="Y3" s="496"/>
      <c r="Z3" s="206"/>
      <c r="AA3" s="206"/>
      <c r="AB3" s="206"/>
      <c r="AC3" s="248"/>
      <c r="AD3" s="207"/>
      <c r="AE3" s="206"/>
      <c r="AF3" s="206"/>
      <c r="AG3" s="206"/>
      <c r="AH3" s="248"/>
      <c r="AI3" s="207"/>
      <c r="AJ3" s="206"/>
      <c r="AK3" s="206"/>
      <c r="AL3" s="206"/>
      <c r="AM3" s="248"/>
      <c r="AN3" s="207"/>
      <c r="AO3" s="206"/>
      <c r="AP3" s="206"/>
      <c r="AQ3" s="206"/>
      <c r="AR3" s="248"/>
      <c r="AS3" s="207"/>
      <c r="AT3" s="206"/>
      <c r="AU3" s="206"/>
      <c r="AV3" s="206"/>
      <c r="AW3" s="248"/>
      <c r="AX3" s="207"/>
      <c r="AY3" s="206"/>
      <c r="AZ3" s="206"/>
      <c r="BA3" s="206"/>
      <c r="BB3" s="248"/>
      <c r="BC3" s="207"/>
      <c r="BD3" s="206"/>
      <c r="BE3" s="206"/>
      <c r="BF3" s="206"/>
      <c r="BG3" s="248"/>
      <c r="BH3" s="207"/>
      <c r="BI3" s="206"/>
      <c r="BJ3" s="206"/>
      <c r="BK3" s="206"/>
      <c r="BL3" s="248"/>
      <c r="BM3" s="207"/>
      <c r="BN3" s="206"/>
      <c r="BO3" s="206"/>
      <c r="BP3" s="206"/>
      <c r="BQ3" s="248"/>
      <c r="BR3" s="207"/>
      <c r="BS3" s="206"/>
      <c r="BT3" s="206"/>
      <c r="BU3" s="206"/>
      <c r="BV3" s="248"/>
      <c r="BW3" s="207"/>
      <c r="BX3" s="206"/>
      <c r="BY3" s="206"/>
      <c r="BZ3" s="206"/>
      <c r="CA3" s="248"/>
      <c r="CB3" s="207"/>
      <c r="CC3" s="206"/>
      <c r="CD3" s="206"/>
      <c r="CE3" s="206"/>
      <c r="CF3" s="248"/>
      <c r="CG3" s="208"/>
    </row>
    <row r="4" spans="1:175" s="9" customFormat="1" ht="9.75" customHeight="1" x14ac:dyDescent="0.15">
      <c r="A4" s="51" t="s">
        <v>175</v>
      </c>
      <c r="B4" s="290">
        <f>B45</f>
        <v>0.3</v>
      </c>
      <c r="C4" s="291">
        <f>C45</f>
        <v>10000000</v>
      </c>
      <c r="D4" s="643" t="s">
        <v>210</v>
      </c>
      <c r="E4" s="644"/>
      <c r="F4" s="228">
        <f>SUM(1000/G44)</f>
        <v>200</v>
      </c>
      <c r="G4" s="98">
        <f>SUM((F45+F46)/G44)</f>
        <v>200</v>
      </c>
      <c r="H4" s="98">
        <f>SUM((G45+G46)/H44)</f>
        <v>3888.8888888888887</v>
      </c>
      <c r="I4" s="98">
        <f>SUM((H45+H46)/I44)</f>
        <v>3333.3333333333335</v>
      </c>
      <c r="J4" s="251">
        <f>SUM(F4+G4+H4+I4)*3</f>
        <v>22866.666666666668</v>
      </c>
      <c r="K4" s="35">
        <f>SUM((I45+I46)/K44)</f>
        <v>2222.2222222222226</v>
      </c>
      <c r="L4" s="35">
        <f>SUM((K45+K46)/L44)</f>
        <v>1666.6666666666667</v>
      </c>
      <c r="M4" s="35">
        <f>SUM((L45+L46)/M44)</f>
        <v>0</v>
      </c>
      <c r="N4" s="35">
        <f>SUM((M45+M46)/N44)</f>
        <v>0</v>
      </c>
      <c r="O4" s="251">
        <f>SUM(K4+L4+M4+N4)*3</f>
        <v>11666.666666666668</v>
      </c>
      <c r="P4" s="35">
        <f>SUM((N45+N46)/P44)</f>
        <v>0</v>
      </c>
      <c r="Q4" s="35">
        <f>SUM((P45+P46)/Q44)</f>
        <v>0</v>
      </c>
      <c r="R4" s="35">
        <f>SUM((Q45+Q46)/R44)</f>
        <v>0</v>
      </c>
      <c r="S4" s="35">
        <f>SUM((R45+R46)/S44)</f>
        <v>0</v>
      </c>
      <c r="T4" s="315">
        <f>SUM(P4+Q4+R4+S4)*3</f>
        <v>0</v>
      </c>
      <c r="U4" s="250">
        <f>SUM(U45/U44)</f>
        <v>0</v>
      </c>
      <c r="V4" s="251">
        <f>SUM(V45/V44)</f>
        <v>0</v>
      </c>
      <c r="W4" s="252">
        <f>SUM(W45/W44)</f>
        <v>0</v>
      </c>
      <c r="X4" s="173"/>
      <c r="Y4" s="490">
        <v>0</v>
      </c>
      <c r="Z4" s="35">
        <f>F4</f>
        <v>200</v>
      </c>
      <c r="AA4" s="35">
        <f>F4</f>
        <v>200</v>
      </c>
      <c r="AB4" s="35">
        <f>F4</f>
        <v>200</v>
      </c>
      <c r="AC4" s="251">
        <f>SUM(Z4:AB4)</f>
        <v>600</v>
      </c>
      <c r="AD4" s="43"/>
      <c r="AE4" s="35">
        <f>G4</f>
        <v>200</v>
      </c>
      <c r="AF4" s="35">
        <f>G4</f>
        <v>200</v>
      </c>
      <c r="AG4" s="35">
        <f>G4</f>
        <v>200</v>
      </c>
      <c r="AH4" s="251">
        <f>SUM(AE4:AG4)</f>
        <v>600</v>
      </c>
      <c r="AI4" s="43"/>
      <c r="AJ4" s="35">
        <f>H4</f>
        <v>3888.8888888888887</v>
      </c>
      <c r="AK4" s="35">
        <f>H4</f>
        <v>3888.8888888888887</v>
      </c>
      <c r="AL4" s="35">
        <f>H4</f>
        <v>3888.8888888888887</v>
      </c>
      <c r="AM4" s="251">
        <f>SUM(AJ4:AL4)</f>
        <v>11666.666666666666</v>
      </c>
      <c r="AN4" s="43"/>
      <c r="AO4" s="35">
        <f>I4</f>
        <v>3333.3333333333335</v>
      </c>
      <c r="AP4" s="35">
        <f>I4</f>
        <v>3333.3333333333335</v>
      </c>
      <c r="AQ4" s="35">
        <f>I4</f>
        <v>3333.3333333333335</v>
      </c>
      <c r="AR4" s="251">
        <f>SUM(AO4:AQ4)</f>
        <v>10000</v>
      </c>
      <c r="AS4" s="43"/>
      <c r="AT4" s="35">
        <f>K4</f>
        <v>2222.2222222222226</v>
      </c>
      <c r="AU4" s="35">
        <f>K4</f>
        <v>2222.2222222222226</v>
      </c>
      <c r="AV4" s="35">
        <f>K4</f>
        <v>2222.2222222222226</v>
      </c>
      <c r="AW4" s="251">
        <f>SUM(AT4:AV4)</f>
        <v>6666.6666666666679</v>
      </c>
      <c r="AX4" s="43"/>
      <c r="AY4" s="35">
        <f>L4</f>
        <v>1666.6666666666667</v>
      </c>
      <c r="AZ4" s="35">
        <f>L4</f>
        <v>1666.6666666666667</v>
      </c>
      <c r="BA4" s="35">
        <f>L4</f>
        <v>1666.6666666666667</v>
      </c>
      <c r="BB4" s="251">
        <f>SUM(AY4:BA4)</f>
        <v>5000</v>
      </c>
      <c r="BC4" s="43"/>
      <c r="BD4" s="35">
        <f>M4</f>
        <v>0</v>
      </c>
      <c r="BE4" s="35">
        <f>M4</f>
        <v>0</v>
      </c>
      <c r="BF4" s="35">
        <f>M4</f>
        <v>0</v>
      </c>
      <c r="BG4" s="251">
        <f>SUM(BD4:BF4)</f>
        <v>0</v>
      </c>
      <c r="BH4" s="43"/>
      <c r="BI4" s="35">
        <f>N4</f>
        <v>0</v>
      </c>
      <c r="BJ4" s="35">
        <f>N4</f>
        <v>0</v>
      </c>
      <c r="BK4" s="35">
        <f>N4</f>
        <v>0</v>
      </c>
      <c r="BL4" s="251">
        <f>SUM(BI4:BK4)</f>
        <v>0</v>
      </c>
      <c r="BM4" s="43"/>
      <c r="BN4" s="35">
        <f>P4</f>
        <v>0</v>
      </c>
      <c r="BO4" s="35">
        <f>P4</f>
        <v>0</v>
      </c>
      <c r="BP4" s="35">
        <f>P4</f>
        <v>0</v>
      </c>
      <c r="BQ4" s="251">
        <f>SUM(BN4:BP4)</f>
        <v>0</v>
      </c>
      <c r="BR4" s="43"/>
      <c r="BS4" s="35">
        <f>Q4</f>
        <v>0</v>
      </c>
      <c r="BT4" s="35">
        <f>Q4</f>
        <v>0</v>
      </c>
      <c r="BU4" s="35">
        <f>Q4</f>
        <v>0</v>
      </c>
      <c r="BV4" s="251">
        <f>SUM(BS4:BU4)</f>
        <v>0</v>
      </c>
      <c r="BW4" s="43"/>
      <c r="BX4" s="35">
        <f>R4</f>
        <v>0</v>
      </c>
      <c r="BY4" s="35">
        <f>R4</f>
        <v>0</v>
      </c>
      <c r="BZ4" s="35">
        <f>R4</f>
        <v>0</v>
      </c>
      <c r="CA4" s="251">
        <f>SUM(BX4:BZ4)</f>
        <v>0</v>
      </c>
      <c r="CB4" s="43"/>
      <c r="CC4" s="35">
        <f>S4</f>
        <v>0</v>
      </c>
      <c r="CD4" s="35">
        <f>S4</f>
        <v>0</v>
      </c>
      <c r="CE4" s="35">
        <f>S4</f>
        <v>0</v>
      </c>
      <c r="CF4" s="251">
        <f>SUM(CC4:CE4)</f>
        <v>0</v>
      </c>
      <c r="CG4" s="109"/>
    </row>
    <row r="5" spans="1:175" s="9" customFormat="1" ht="9.75" customHeight="1" x14ac:dyDescent="0.15">
      <c r="A5" s="51" t="s">
        <v>176</v>
      </c>
      <c r="B5" s="292">
        <v>500</v>
      </c>
      <c r="C5" s="293">
        <v>0.08</v>
      </c>
      <c r="D5" s="647">
        <f>SUM('Your Estimation'!B28)</f>
        <v>0</v>
      </c>
      <c r="E5" s="648"/>
      <c r="F5" s="125">
        <v>1500</v>
      </c>
      <c r="G5" s="127">
        <v>2000</v>
      </c>
      <c r="H5" s="35">
        <f>SUM('Your Estimation'!B28)</f>
        <v>0</v>
      </c>
      <c r="I5" s="35">
        <f>SUM('Your Estimation'!B28)</f>
        <v>0</v>
      </c>
      <c r="J5" s="251">
        <f>SUM(F5+G5+H5+I5)*3</f>
        <v>10500</v>
      </c>
      <c r="K5" s="35">
        <f>SUM('Your Estimation'!B28)</f>
        <v>0</v>
      </c>
      <c r="L5" s="35">
        <f>SUM('Your Estimation'!B28)</f>
        <v>0</v>
      </c>
      <c r="M5" s="35">
        <f>SUM('Your Estimation'!B28)</f>
        <v>0</v>
      </c>
      <c r="N5" s="35">
        <f>SUM('Your Estimation'!B28)</f>
        <v>0</v>
      </c>
      <c r="O5" s="251">
        <f>SUM(K5+L5+M5+N5)*3</f>
        <v>0</v>
      </c>
      <c r="P5" s="35">
        <f>SUM('Your Estimation'!B28)</f>
        <v>0</v>
      </c>
      <c r="Q5" s="35">
        <f>SUM('Your Estimation'!B28)</f>
        <v>0</v>
      </c>
      <c r="R5" s="35">
        <f>SUM('Your Estimation'!B28)</f>
        <v>0</v>
      </c>
      <c r="S5" s="35">
        <f>SUM('Your Estimation'!B28)</f>
        <v>0</v>
      </c>
      <c r="T5" s="315">
        <f>SUM(P5+Q5+R5+S5)*3</f>
        <v>0</v>
      </c>
      <c r="U5" s="250">
        <f>SUM('Your Estimation'!B28)*12</f>
        <v>0</v>
      </c>
      <c r="V5" s="251">
        <f>SUM('Your Estimation'!B28)*12</f>
        <v>0</v>
      </c>
      <c r="W5" s="252">
        <f>SUM('Your Estimation'!B28)*12</f>
        <v>0</v>
      </c>
      <c r="X5" s="173"/>
      <c r="Y5" s="490">
        <v>2300</v>
      </c>
      <c r="Z5" s="35">
        <f t="shared" ref="Z5:Z7" si="0">F5</f>
        <v>1500</v>
      </c>
      <c r="AA5" s="35">
        <f t="shared" ref="AA5:AA7" si="1">F5</f>
        <v>1500</v>
      </c>
      <c r="AB5" s="35">
        <f t="shared" ref="AB5:AB7" si="2">F5</f>
        <v>1500</v>
      </c>
      <c r="AC5" s="251">
        <f>SUM(Z5:AB5)</f>
        <v>4500</v>
      </c>
      <c r="AD5" s="43"/>
      <c r="AE5" s="35">
        <f t="shared" ref="AE5:AE7" si="3">G5</f>
        <v>2000</v>
      </c>
      <c r="AF5" s="35">
        <f t="shared" ref="AF5:AF7" si="4">G5</f>
        <v>2000</v>
      </c>
      <c r="AG5" s="35">
        <f t="shared" ref="AG5:AG7" si="5">G5</f>
        <v>2000</v>
      </c>
      <c r="AH5" s="251">
        <f>SUM(AE5:AG5)</f>
        <v>6000</v>
      </c>
      <c r="AI5" s="43"/>
      <c r="AJ5" s="35">
        <f t="shared" ref="AJ5:AJ7" si="6">H5</f>
        <v>0</v>
      </c>
      <c r="AK5" s="35">
        <f t="shared" ref="AK5:AK7" si="7">H5</f>
        <v>0</v>
      </c>
      <c r="AL5" s="35">
        <f t="shared" ref="AL5:AL7" si="8">H5</f>
        <v>0</v>
      </c>
      <c r="AM5" s="251">
        <f>SUM(AJ5:AL5)</f>
        <v>0</v>
      </c>
      <c r="AN5" s="43"/>
      <c r="AO5" s="35">
        <f>I5</f>
        <v>0</v>
      </c>
      <c r="AP5" s="35">
        <f>I5</f>
        <v>0</v>
      </c>
      <c r="AQ5" s="35">
        <f>I5</f>
        <v>0</v>
      </c>
      <c r="AR5" s="251">
        <f>SUM(AO5:AQ5)</f>
        <v>0</v>
      </c>
      <c r="AS5" s="43"/>
      <c r="AT5" s="35">
        <f>K5</f>
        <v>0</v>
      </c>
      <c r="AU5" s="35">
        <f>K5</f>
        <v>0</v>
      </c>
      <c r="AV5" s="35">
        <f>K5</f>
        <v>0</v>
      </c>
      <c r="AW5" s="251">
        <f>SUM(AT5:AV5)</f>
        <v>0</v>
      </c>
      <c r="AX5" s="43"/>
      <c r="AY5" s="35">
        <f>L5</f>
        <v>0</v>
      </c>
      <c r="AZ5" s="35">
        <f>L5</f>
        <v>0</v>
      </c>
      <c r="BA5" s="35">
        <f>L5</f>
        <v>0</v>
      </c>
      <c r="BB5" s="251">
        <f>SUM(AY5:BA5)</f>
        <v>0</v>
      </c>
      <c r="BC5" s="43"/>
      <c r="BD5" s="35">
        <f>M5</f>
        <v>0</v>
      </c>
      <c r="BE5" s="35">
        <f>M5</f>
        <v>0</v>
      </c>
      <c r="BF5" s="35">
        <f>M5</f>
        <v>0</v>
      </c>
      <c r="BG5" s="251">
        <f>SUM(BD5:BF5)</f>
        <v>0</v>
      </c>
      <c r="BH5" s="43"/>
      <c r="BI5" s="35">
        <f>N5</f>
        <v>0</v>
      </c>
      <c r="BJ5" s="35">
        <f>N5</f>
        <v>0</v>
      </c>
      <c r="BK5" s="35">
        <f>N5</f>
        <v>0</v>
      </c>
      <c r="BL5" s="251">
        <f>SUM(BI5:BK5)</f>
        <v>0</v>
      </c>
      <c r="BM5" s="43"/>
      <c r="BN5" s="35">
        <f>P5</f>
        <v>0</v>
      </c>
      <c r="BO5" s="35">
        <f>P5</f>
        <v>0</v>
      </c>
      <c r="BP5" s="35">
        <f>P5</f>
        <v>0</v>
      </c>
      <c r="BQ5" s="251">
        <f>SUM(BN5:BP5)</f>
        <v>0</v>
      </c>
      <c r="BR5" s="43"/>
      <c r="BS5" s="35">
        <f>Q5</f>
        <v>0</v>
      </c>
      <c r="BT5" s="35">
        <f>Q5</f>
        <v>0</v>
      </c>
      <c r="BU5" s="35">
        <f>Q5</f>
        <v>0</v>
      </c>
      <c r="BV5" s="251">
        <f>SUM(BS5:BU5)</f>
        <v>0</v>
      </c>
      <c r="BW5" s="43"/>
      <c r="BX5" s="35">
        <f>R5</f>
        <v>0</v>
      </c>
      <c r="BY5" s="35">
        <f>R5</f>
        <v>0</v>
      </c>
      <c r="BZ5" s="35">
        <f>R5</f>
        <v>0</v>
      </c>
      <c r="CA5" s="251">
        <f>SUM(BX5:BZ5)</f>
        <v>0</v>
      </c>
      <c r="CB5" s="43"/>
      <c r="CC5" s="35">
        <f>S5</f>
        <v>0</v>
      </c>
      <c r="CD5" s="35">
        <f>S5</f>
        <v>0</v>
      </c>
      <c r="CE5" s="35">
        <f>S5</f>
        <v>0</v>
      </c>
      <c r="CF5" s="251">
        <f>SUM(CC5:CE5)</f>
        <v>0</v>
      </c>
      <c r="CG5" s="109"/>
    </row>
    <row r="6" spans="1:175" s="9" customFormat="1" ht="9.75" customHeight="1" x14ac:dyDescent="0.15">
      <c r="A6" s="484" t="s">
        <v>177</v>
      </c>
      <c r="B6" s="250">
        <v>100</v>
      </c>
      <c r="C6" s="293">
        <v>0.02</v>
      </c>
      <c r="D6" s="467">
        <v>0</v>
      </c>
      <c r="E6" s="468">
        <f>SUM('Your Estimation'!B63)</f>
        <v>0</v>
      </c>
      <c r="F6" s="125">
        <v>0</v>
      </c>
      <c r="G6" s="127">
        <v>100</v>
      </c>
      <c r="H6" s="35">
        <f>SUM(IF(ISBLANK(D6),B6,D6)+(G18*(IF(ISBLANK(E6),C6,E6))))</f>
        <v>0</v>
      </c>
      <c r="I6" s="35">
        <f>SUM(IF(ISBLANK(D6),B6,D6)+(H18*(IF(ISBLANK(E6),C6,E6))))</f>
        <v>0</v>
      </c>
      <c r="J6" s="251">
        <f>SUM(F6+G6+H6+I6)*3</f>
        <v>300</v>
      </c>
      <c r="K6" s="35">
        <f>SUM(IF(ISBLANK(D6),B6,D6)+(I18*(IF(ISBLANK(E6),C6,E6))))</f>
        <v>0</v>
      </c>
      <c r="L6" s="35">
        <f>SUM(IF(ISBLANK(D6),B6,D6)+(K18*(IF(ISBLANK(E6),C6,E6))))</f>
        <v>0</v>
      </c>
      <c r="M6" s="35">
        <f>SUM(IF(ISBLANK(D6),B6,D6)+(L18*(IF(ISBLANK(E6),C6,E6))))</f>
        <v>0</v>
      </c>
      <c r="N6" s="35">
        <f>SUM(IF(ISBLANK(D6),B6,D6)+(M18*(IF(ISBLANK(E6),C6,E6))))</f>
        <v>0</v>
      </c>
      <c r="O6" s="251">
        <f>SUM(K6+L6+M6+N6)*3</f>
        <v>0</v>
      </c>
      <c r="P6" s="35">
        <f>SUM(IF(ISBLANK(D6),B6,D6)+(N18*(IF(ISBLANK(E6),C6,E6))))</f>
        <v>0</v>
      </c>
      <c r="Q6" s="35">
        <f>SUM(IF(ISBLANK(D6),B6,D6)+(P18*(IF(ISBLANK(E6),C6,E6))))</f>
        <v>0</v>
      </c>
      <c r="R6" s="35">
        <f>SUM(IF(ISBLANK(D6),B6,D6)+(Q18*(IF(ISBLANK(E6),C6,E6))))</f>
        <v>0</v>
      </c>
      <c r="S6" s="35">
        <f>SUM(IF(ISBLANK(D6),B6,D6)+(R18*(IF(ISBLANK(E6),C6,E6))))</f>
        <v>0</v>
      </c>
      <c r="T6" s="315">
        <f>SUM(P6+Q6+R6+S6)*3</f>
        <v>0</v>
      </c>
      <c r="U6" s="250">
        <f>SUM(IF(ISBLANK(D6),B6,D6)+(S18*(IF(ISBLANK(E6),C6,E6))))*12</f>
        <v>0</v>
      </c>
      <c r="V6" s="251">
        <f>SUM(IF(ISBLANK(D6),B6,D6)+(U18*(IF(ISBLANK(E6),C6,E6))))*12</f>
        <v>0</v>
      </c>
      <c r="W6" s="252">
        <f>SUM(IF(ISBLANK(D6),B6,D6)+(V18*(IF(ISBLANK(E6),C6,E6))))*12</f>
        <v>0</v>
      </c>
      <c r="X6" s="173"/>
      <c r="Y6" s="490">
        <v>0</v>
      </c>
      <c r="Z6" s="35">
        <f t="shared" si="0"/>
        <v>0</v>
      </c>
      <c r="AA6" s="35">
        <f t="shared" si="1"/>
        <v>0</v>
      </c>
      <c r="AB6" s="35">
        <f t="shared" si="2"/>
        <v>0</v>
      </c>
      <c r="AC6" s="251">
        <f t="shared" ref="AC6:AC17" si="9">SUM(Z6:AB6)</f>
        <v>0</v>
      </c>
      <c r="AD6" s="43"/>
      <c r="AE6" s="35">
        <f t="shared" si="3"/>
        <v>100</v>
      </c>
      <c r="AF6" s="35">
        <f t="shared" si="4"/>
        <v>100</v>
      </c>
      <c r="AG6" s="35">
        <f t="shared" si="5"/>
        <v>100</v>
      </c>
      <c r="AH6" s="251">
        <f t="shared" ref="AH6:AH17" si="10">SUM(AE6:AG6)</f>
        <v>300</v>
      </c>
      <c r="AI6" s="43"/>
      <c r="AJ6" s="35">
        <f t="shared" si="6"/>
        <v>0</v>
      </c>
      <c r="AK6" s="35">
        <f t="shared" si="7"/>
        <v>0</v>
      </c>
      <c r="AL6" s="35">
        <f t="shared" si="8"/>
        <v>0</v>
      </c>
      <c r="AM6" s="251">
        <f t="shared" ref="AM6:AM17" si="11">SUM(AJ6:AL6)</f>
        <v>0</v>
      </c>
      <c r="AN6" s="43"/>
      <c r="AO6" s="35">
        <f t="shared" ref="AO6:AO7" si="12">I6</f>
        <v>0</v>
      </c>
      <c r="AP6" s="35">
        <f t="shared" ref="AP6:AP7" si="13">I6</f>
        <v>0</v>
      </c>
      <c r="AQ6" s="35">
        <f t="shared" ref="AQ6:AQ7" si="14">I6</f>
        <v>0</v>
      </c>
      <c r="AR6" s="251">
        <f t="shared" ref="AR6:AR17" si="15">SUM(AO6:AQ6)</f>
        <v>0</v>
      </c>
      <c r="AS6" s="43"/>
      <c r="AT6" s="35">
        <f t="shared" ref="AT6:AT7" si="16">K6</f>
        <v>0</v>
      </c>
      <c r="AU6" s="35">
        <f t="shared" ref="AU6:AU7" si="17">K6</f>
        <v>0</v>
      </c>
      <c r="AV6" s="35">
        <f t="shared" ref="AV6:AV7" si="18">K6</f>
        <v>0</v>
      </c>
      <c r="AW6" s="251">
        <f t="shared" ref="AW6:AW17" si="19">SUM(AT6:AV6)</f>
        <v>0</v>
      </c>
      <c r="AX6" s="43"/>
      <c r="AY6" s="35">
        <f t="shared" ref="AY6:AY7" si="20">L6</f>
        <v>0</v>
      </c>
      <c r="AZ6" s="35">
        <f t="shared" ref="AZ6:AZ7" si="21">L6</f>
        <v>0</v>
      </c>
      <c r="BA6" s="35">
        <f t="shared" ref="BA6:BA7" si="22">L6</f>
        <v>0</v>
      </c>
      <c r="BB6" s="251">
        <f t="shared" ref="BB6:BB17" si="23">SUM(AY6:BA6)</f>
        <v>0</v>
      </c>
      <c r="BC6" s="43"/>
      <c r="BD6" s="35">
        <f t="shared" ref="BD6:BD7" si="24">M6</f>
        <v>0</v>
      </c>
      <c r="BE6" s="35">
        <f t="shared" ref="BE6:BE7" si="25">M6</f>
        <v>0</v>
      </c>
      <c r="BF6" s="35">
        <f t="shared" ref="BF6:BF7" si="26">M6</f>
        <v>0</v>
      </c>
      <c r="BG6" s="251">
        <f t="shared" ref="BG6:BG17" si="27">SUM(BD6:BF6)</f>
        <v>0</v>
      </c>
      <c r="BH6" s="43"/>
      <c r="BI6" s="35">
        <f t="shared" ref="BI6:BI7" si="28">N6</f>
        <v>0</v>
      </c>
      <c r="BJ6" s="35">
        <f t="shared" ref="BJ6" si="29">N6</f>
        <v>0</v>
      </c>
      <c r="BK6" s="35">
        <f t="shared" ref="BK6:BK7" si="30">N6</f>
        <v>0</v>
      </c>
      <c r="BL6" s="251">
        <f t="shared" ref="BL6:BL8" si="31">SUM(BI6:BK6)</f>
        <v>0</v>
      </c>
      <c r="BM6" s="43"/>
      <c r="BN6" s="35">
        <f t="shared" ref="BN6:BN7" si="32">P6</f>
        <v>0</v>
      </c>
      <c r="BO6" s="35">
        <f t="shared" ref="BO6:BO7" si="33">P6</f>
        <v>0</v>
      </c>
      <c r="BP6" s="35">
        <f t="shared" ref="BP6:BP7" si="34">P6</f>
        <v>0</v>
      </c>
      <c r="BQ6" s="251">
        <f t="shared" ref="BQ6:BQ8" si="35">SUM(BN6:BP6)</f>
        <v>0</v>
      </c>
      <c r="BR6" s="43"/>
      <c r="BS6" s="35">
        <f t="shared" ref="BS6:BS7" si="36">Q6</f>
        <v>0</v>
      </c>
      <c r="BT6" s="35">
        <f t="shared" ref="BT6:BT7" si="37">Q6</f>
        <v>0</v>
      </c>
      <c r="BU6" s="35">
        <f t="shared" ref="BU6:BU7" si="38">Q6</f>
        <v>0</v>
      </c>
      <c r="BV6" s="251">
        <f t="shared" ref="BV6:BV8" si="39">SUM(BS6:BU6)</f>
        <v>0</v>
      </c>
      <c r="BW6" s="43"/>
      <c r="BX6" s="35">
        <f t="shared" ref="BX6:BX7" si="40">R6</f>
        <v>0</v>
      </c>
      <c r="BY6" s="35">
        <f t="shared" ref="BY6:BY7" si="41">R6</f>
        <v>0</v>
      </c>
      <c r="BZ6" s="35">
        <f t="shared" ref="BZ6" si="42">R6</f>
        <v>0</v>
      </c>
      <c r="CA6" s="251">
        <f t="shared" ref="CA6:CA7" si="43">SUM(BX6:BZ6)</f>
        <v>0</v>
      </c>
      <c r="CB6" s="43"/>
      <c r="CC6" s="35">
        <f t="shared" ref="CC6:CC7" si="44">S6</f>
        <v>0</v>
      </c>
      <c r="CD6" s="35">
        <f t="shared" ref="CD6:CD7" si="45">S6</f>
        <v>0</v>
      </c>
      <c r="CE6" s="35">
        <f t="shared" ref="CE6:CE7" si="46">S6</f>
        <v>0</v>
      </c>
      <c r="CF6" s="251">
        <f t="shared" ref="CF6:CF8" si="47">SUM(CC6:CE6)</f>
        <v>0</v>
      </c>
      <c r="CG6" s="109"/>
    </row>
    <row r="7" spans="1:175" s="9" customFormat="1" ht="9.75" customHeight="1" x14ac:dyDescent="0.15">
      <c r="A7" s="51" t="s">
        <v>178</v>
      </c>
      <c r="B7" s="250">
        <v>100</v>
      </c>
      <c r="C7" s="293">
        <v>4.0000000000000001E-3</v>
      </c>
      <c r="D7" s="467">
        <v>0</v>
      </c>
      <c r="E7" s="378">
        <v>0</v>
      </c>
      <c r="F7" s="125">
        <v>0</v>
      </c>
      <c r="G7" s="127">
        <v>0</v>
      </c>
      <c r="H7" s="127">
        <v>0</v>
      </c>
      <c r="I7" s="127">
        <v>0</v>
      </c>
      <c r="J7" s="251">
        <f>SUM((F7+G7+H7+I7)*3)</f>
        <v>0</v>
      </c>
      <c r="K7" s="35">
        <f>SUM(IF(ISBLANK(D7),B7,D7)+(I18*(IF(ISBLANK(E7),C7,E7))))</f>
        <v>0</v>
      </c>
      <c r="L7" s="35">
        <f>SUM(IF(ISBLANK(D7),B7,D7)+(K18*(IF(ISBLANK(E7),C7,E7))))</f>
        <v>0</v>
      </c>
      <c r="M7" s="35">
        <f>SUM(IF(ISBLANK(D7),B7,D7)+(L18*(IF(ISBLANK(E7),C7,E7))))</f>
        <v>0</v>
      </c>
      <c r="N7" s="35">
        <f>SUM(IF(ISBLANK(D7),B7,D7)+(M18*(IF(ISBLANK(E7),C7,E7))))</f>
        <v>0</v>
      </c>
      <c r="O7" s="251">
        <f>SUM(K7+L7+M7+N7)*3</f>
        <v>0</v>
      </c>
      <c r="P7" s="35">
        <f>SUM(IF(ISBLANK(D7),B7,D7)+(N18*(IF(ISBLANK(E7),C7,E7))))</f>
        <v>0</v>
      </c>
      <c r="Q7" s="35">
        <f>SUM(IF(ISBLANK(D7),B7,D7)+(P18*(IF(ISBLANK(E7),C7,E7))))</f>
        <v>0</v>
      </c>
      <c r="R7" s="35">
        <f>SUM(IF(ISBLANK(D7),B7,D7)+(Q18*(IF(ISBLANK(E7),C7,E7))))</f>
        <v>0</v>
      </c>
      <c r="S7" s="35">
        <f>SUM(IF(ISBLANK(D7),B7,D7)+(R18*(IF(ISBLANK(E7),C7,E7))))</f>
        <v>0</v>
      </c>
      <c r="T7" s="315">
        <f>SUM(P7+Q7+R7+S7)*3</f>
        <v>0</v>
      </c>
      <c r="U7" s="250">
        <f>SUM(IF(ISBLANK(D7),B7,D7)+(S18*(IF(ISBLANK(E7),C7,E7))))*12</f>
        <v>0</v>
      </c>
      <c r="V7" s="251">
        <f>SUM(IF(ISBLANK(D7),B7,D7)+(U18*(IF(ISBLANK(E7),C7,E7))))*12</f>
        <v>0</v>
      </c>
      <c r="W7" s="252">
        <f>SUM(IF(ISBLANK(D7),B7,D7)+(V18*(IF(ISBLANK(E7),C7,E7))))*12</f>
        <v>0</v>
      </c>
      <c r="X7" s="173"/>
      <c r="Y7" s="490">
        <v>0</v>
      </c>
      <c r="Z7" s="35">
        <f t="shared" si="0"/>
        <v>0</v>
      </c>
      <c r="AA7" s="35">
        <f t="shared" si="1"/>
        <v>0</v>
      </c>
      <c r="AB7" s="35">
        <f t="shared" si="2"/>
        <v>0</v>
      </c>
      <c r="AC7" s="251">
        <f t="shared" si="9"/>
        <v>0</v>
      </c>
      <c r="AD7" s="43"/>
      <c r="AE7" s="35">
        <f t="shared" si="3"/>
        <v>0</v>
      </c>
      <c r="AF7" s="35">
        <f t="shared" si="4"/>
        <v>0</v>
      </c>
      <c r="AG7" s="35">
        <f t="shared" si="5"/>
        <v>0</v>
      </c>
      <c r="AH7" s="251">
        <f t="shared" si="10"/>
        <v>0</v>
      </c>
      <c r="AI7" s="43"/>
      <c r="AJ7" s="35">
        <f t="shared" si="6"/>
        <v>0</v>
      </c>
      <c r="AK7" s="35">
        <f t="shared" si="7"/>
        <v>0</v>
      </c>
      <c r="AL7" s="35">
        <f t="shared" si="8"/>
        <v>0</v>
      </c>
      <c r="AM7" s="251">
        <f t="shared" si="11"/>
        <v>0</v>
      </c>
      <c r="AN7" s="43"/>
      <c r="AO7" s="35">
        <f t="shared" si="12"/>
        <v>0</v>
      </c>
      <c r="AP7" s="35">
        <f t="shared" si="13"/>
        <v>0</v>
      </c>
      <c r="AQ7" s="35">
        <f t="shared" si="14"/>
        <v>0</v>
      </c>
      <c r="AR7" s="251">
        <f t="shared" si="15"/>
        <v>0</v>
      </c>
      <c r="AS7" s="43"/>
      <c r="AT7" s="35">
        <f t="shared" si="16"/>
        <v>0</v>
      </c>
      <c r="AU7" s="35">
        <f t="shared" si="17"/>
        <v>0</v>
      </c>
      <c r="AV7" s="35">
        <f t="shared" si="18"/>
        <v>0</v>
      </c>
      <c r="AW7" s="251">
        <f t="shared" si="19"/>
        <v>0</v>
      </c>
      <c r="AX7" s="43"/>
      <c r="AY7" s="35">
        <f t="shared" si="20"/>
        <v>0</v>
      </c>
      <c r="AZ7" s="35">
        <f t="shared" si="21"/>
        <v>0</v>
      </c>
      <c r="BA7" s="35">
        <f t="shared" si="22"/>
        <v>0</v>
      </c>
      <c r="BB7" s="251">
        <f t="shared" si="23"/>
        <v>0</v>
      </c>
      <c r="BC7" s="43"/>
      <c r="BD7" s="35">
        <f t="shared" si="24"/>
        <v>0</v>
      </c>
      <c r="BE7" s="35">
        <f t="shared" si="25"/>
        <v>0</v>
      </c>
      <c r="BF7" s="35">
        <f t="shared" si="26"/>
        <v>0</v>
      </c>
      <c r="BG7" s="251">
        <f t="shared" si="27"/>
        <v>0</v>
      </c>
      <c r="BH7" s="43"/>
      <c r="BI7" s="35">
        <f t="shared" si="28"/>
        <v>0</v>
      </c>
      <c r="BJ7" s="35">
        <f>N7</f>
        <v>0</v>
      </c>
      <c r="BK7" s="35">
        <f t="shared" si="30"/>
        <v>0</v>
      </c>
      <c r="BL7" s="251">
        <f t="shared" si="31"/>
        <v>0</v>
      </c>
      <c r="BM7" s="43"/>
      <c r="BN7" s="35">
        <f t="shared" si="32"/>
        <v>0</v>
      </c>
      <c r="BO7" s="35">
        <f t="shared" si="33"/>
        <v>0</v>
      </c>
      <c r="BP7" s="35">
        <f t="shared" si="34"/>
        <v>0</v>
      </c>
      <c r="BQ7" s="251">
        <f t="shared" si="35"/>
        <v>0</v>
      </c>
      <c r="BR7" s="43"/>
      <c r="BS7" s="35">
        <f t="shared" si="36"/>
        <v>0</v>
      </c>
      <c r="BT7" s="35">
        <f t="shared" si="37"/>
        <v>0</v>
      </c>
      <c r="BU7" s="35">
        <f t="shared" si="38"/>
        <v>0</v>
      </c>
      <c r="BV7" s="251">
        <f t="shared" si="39"/>
        <v>0</v>
      </c>
      <c r="BW7" s="43"/>
      <c r="BX7" s="35">
        <f t="shared" si="40"/>
        <v>0</v>
      </c>
      <c r="BY7" s="35">
        <f t="shared" si="41"/>
        <v>0</v>
      </c>
      <c r="BZ7" s="35">
        <f>R7</f>
        <v>0</v>
      </c>
      <c r="CA7" s="251">
        <f t="shared" si="43"/>
        <v>0</v>
      </c>
      <c r="CB7" s="43"/>
      <c r="CC7" s="35">
        <f t="shared" si="44"/>
        <v>0</v>
      </c>
      <c r="CD7" s="35">
        <f t="shared" si="45"/>
        <v>0</v>
      </c>
      <c r="CE7" s="35">
        <f t="shared" si="46"/>
        <v>0</v>
      </c>
      <c r="CF7" s="251">
        <f t="shared" si="47"/>
        <v>0</v>
      </c>
      <c r="CG7" s="109"/>
    </row>
    <row r="8" spans="1:175" s="9" customFormat="1" ht="9.75" customHeight="1" thickBot="1" x14ac:dyDescent="0.2">
      <c r="A8" s="229" t="s">
        <v>179</v>
      </c>
      <c r="B8" s="294">
        <v>5000000</v>
      </c>
      <c r="C8" s="295">
        <v>300000000</v>
      </c>
      <c r="D8" s="230">
        <f>SUM(E8/10)</f>
        <v>999900000</v>
      </c>
      <c r="E8" s="469">
        <f>SUM('Your Estimation'!B68*1000000)</f>
        <v>9999000000</v>
      </c>
      <c r="F8" s="232">
        <f>SUM(IF(((1-(Y18/(IF(ISBLANK(D8),B8,(IF(D8=0,9.99999999999999E+29,D8))))))*SUM(F4:F7))&lt;0,0,((1-(Y18/(IF(ISBLANK(D8),B8,(IF(D8=0,9.99999999999999E+29,D8))))))*SUM(F4:F7))))</f>
        <v>1699.9974497449746</v>
      </c>
      <c r="G8" s="233">
        <f>SUM(IF(((1-(F18/(IF(ISBLANK(D8),B8,(IF(D8=0,9.99999999999999E+29,D8))))))*SUM(G4:G7))&lt;0,0,((1-(F18/(IF(ISBLANK(D8),B8,(IF(D8=0,9.99999999999999E+29,D8))))))*SUM(G4:G7))))</f>
        <v>2299.9950640323991</v>
      </c>
      <c r="H8" s="233">
        <f>SUM(IF(((1-(G18/(IF(ISBLANK(D8),B8,(IF(D8=0,9.99999999999999E+29,D8))))))*SUM(H4:H7))&lt;0,0,((1-(G18/(IF(ISBLANK(D8),B8,(IF(D8=0,9.99999999999999E+29,D8))))))*SUM(H4:H7))))</f>
        <v>3888.8689698504559</v>
      </c>
      <c r="I8" s="233">
        <f>SUM(IF(((1-(H18/(IF(ISBLANK(D8),B8,(IF(D8=0,9.99999999999999E+29,D8))))))*SUM(I4:I7))&lt;0,0,((1-(H18/(IF(ISBLANK(D8),B8,(IF(D8=0,9.99999999999999E+29,D8))))))*SUM(I4:I7))))</f>
        <v>3333.2773672928633</v>
      </c>
      <c r="J8" s="255">
        <f t="shared" ref="J8" si="48">SUM(F8:I8)*3</f>
        <v>33666.416552762079</v>
      </c>
      <c r="K8" s="233">
        <f>SUM(IF(((1-(I18/(IF(ISBLANK(E8),C8,(IF(E8=0,9.99999999999999E+29,E8))))))*SUM(K4:K7))&lt;0,0,((1-(I18/(IF(ISBLANK(E8),C8,(IF(E8=0,9.99999999999999E+29,E8))))))*SUM(K4:K7))))</f>
        <v>2222.2162687457057</v>
      </c>
      <c r="L8" s="233">
        <f>SUM(IF(((1-(K18/(IF(ISBLANK(E8),C8,(IF(E8=0,9.99999999999999E+29,E8))))))*SUM(L4:L7))&lt;0,0,((1-(K18/(IF(ISBLANK(E8),C8,(IF(E8=0,9.99999999999999E+29,E8))))))*SUM(L4:L7))))</f>
        <v>1666.6610903400228</v>
      </c>
      <c r="M8" s="233">
        <f>SUM(IF(((1-(L18/(IF(ISBLANK(E8),C8,(IF(E8=0,9.99999999999999E+29,E8))))))*SUM(M4:M7))&lt;0,0,((1-(L18/(IF(ISBLANK(E8),C8,(IF(E8=0,9.99999999999999E+29,E8))))))*SUM(M4:M7))))</f>
        <v>0</v>
      </c>
      <c r="N8" s="233">
        <f>SUM(IF(((1-(M18/(IF(ISBLANK(E8),C8,(IF(E8=0,9.99999999999999E+29,E8))))))*SUM(N4:N7))&lt;0,0,((1-(M18/(IF(ISBLANK(E8),C8,(IF(E8=0,9.99999999999999E+29,E8))))))*SUM(N4:N7))))</f>
        <v>0</v>
      </c>
      <c r="O8" s="255">
        <f t="shared" ref="O8" si="49">SUM(K8:N8)*3</f>
        <v>11666.632077257185</v>
      </c>
      <c r="P8" s="233">
        <f>SUM(IF(((1-(N18/(IF(ISBLANK(E8),C8,(IF(E8=0,9.99999999999999E+29,E8))))))*SUM(P4:P7))&lt;0,0,((1-(N18/(IF(ISBLANK(E8),C8,(IF(E8=0,9.99999999999999E+29,E8))))))*SUM(P4:P7))))</f>
        <v>0</v>
      </c>
      <c r="Q8" s="233">
        <f>SUM(IF(((1-(P18/(IF(ISBLANK(E8),C8,(IF(E8=0,9.99999999999999E+29,E8))))))*SUM(Q4:Q7))&lt;0,0,((1-(P18/(IF(ISBLANK(E8),C8,(IF(E8=0,9.99999999999999E+29,E8))))))*SUM(Q4:Q7))))</f>
        <v>0</v>
      </c>
      <c r="R8" s="233">
        <f>SUM(IF(((1-(Q18/(IF(ISBLANK(E8),C8,(IF(E8=0,9.99999999999999E+29,E8))))))*SUM(R4:R7))&lt;0,0,((1-(Q18/(IF(ISBLANK(E8),C8,(IF(E8=0,9.99999999999999E+29,E8))))))*SUM(R4:R7))))</f>
        <v>0</v>
      </c>
      <c r="S8" s="233">
        <f>SUM(IF(((1-(R18/(IF(ISBLANK(E8),C8,(IF(E8=0,9.99999999999999E+29,E8))))))*SUM(S4:S7))&lt;0,0,((1-(R18/(IF(ISBLANK(E8),C8,(IF(E8=0,9.99999999999999E+29,E8))))))*SUM(S4:S7))))</f>
        <v>0</v>
      </c>
      <c r="T8" s="253">
        <f t="shared" ref="T8" si="50">SUM(P8:S8)*3</f>
        <v>0</v>
      </c>
      <c r="U8" s="254">
        <f>SUM(IF(((1-(T18/(IF(ISBLANK(E8),C8,(IF(E8=0,9.99999999999999E+29,E8))))))*SUM(U4:U7))&lt;0,0,((1-(T18/(IF(ISBLANK(E8),C8,(IF(E8=0,9.99999999999999E+29,E8))))))*SUM(U4:U7))))</f>
        <v>0</v>
      </c>
      <c r="V8" s="255">
        <f>SUM(IF(((1-(U18/(IF(ISBLANK(E8),C8,(IF(E8=0,9.99999999999999E+29,E8))))))*SUM(V4:V7))&lt;0,0,((1-(U18/(IF(ISBLANK(E8),C8,(IF(E8=0,9.99999999999999E+29,E8))))))*SUM(V4:V7))))</f>
        <v>0</v>
      </c>
      <c r="W8" s="256">
        <f>SUM(IF(((1-(V18/(IF(ISBLANK(E8),C8,(IF(E8=0,9.99999999999999E+29,E8))))))*SUM(W4:W7))&lt;0,0,((1-(V18/(IF(ISBLANK(E8),C8,(IF(E8=0,9.99999999999999E+29,E8))))))*SUM(W4:W7))))</f>
        <v>0</v>
      </c>
      <c r="X8" s="236"/>
      <c r="Y8" s="497">
        <f>SUM(Y4:Y7)</f>
        <v>2300</v>
      </c>
      <c r="Z8" s="233">
        <f>F8</f>
        <v>1699.9974497449746</v>
      </c>
      <c r="AA8" s="233">
        <f>F8</f>
        <v>1699.9974497449746</v>
      </c>
      <c r="AB8" s="233">
        <f>F8</f>
        <v>1699.9974497449746</v>
      </c>
      <c r="AC8" s="255">
        <f t="shared" si="9"/>
        <v>5099.9923492349235</v>
      </c>
      <c r="AD8" s="234"/>
      <c r="AE8" s="233">
        <f>G8</f>
        <v>2299.9950640323991</v>
      </c>
      <c r="AF8" s="233">
        <f>G8</f>
        <v>2299.9950640323991</v>
      </c>
      <c r="AG8" s="233">
        <f>G8</f>
        <v>2299.9950640323991</v>
      </c>
      <c r="AH8" s="255">
        <f t="shared" si="10"/>
        <v>6899.9851920971978</v>
      </c>
      <c r="AI8" s="234"/>
      <c r="AJ8" s="233">
        <f>H8</f>
        <v>3888.8689698504559</v>
      </c>
      <c r="AK8" s="233">
        <f>H8</f>
        <v>3888.8689698504559</v>
      </c>
      <c r="AL8" s="233">
        <f>H8</f>
        <v>3888.8689698504559</v>
      </c>
      <c r="AM8" s="255">
        <f t="shared" si="11"/>
        <v>11666.606909551367</v>
      </c>
      <c r="AN8" s="234"/>
      <c r="AO8" s="233">
        <f>I8</f>
        <v>3333.2773672928633</v>
      </c>
      <c r="AP8" s="233">
        <f>I8</f>
        <v>3333.2773672928633</v>
      </c>
      <c r="AQ8" s="233">
        <f>I8</f>
        <v>3333.2773672928633</v>
      </c>
      <c r="AR8" s="255">
        <f t="shared" si="15"/>
        <v>9999.83210187859</v>
      </c>
      <c r="AS8" s="234"/>
      <c r="AT8" s="233">
        <f>K8</f>
        <v>2222.2162687457057</v>
      </c>
      <c r="AU8" s="233">
        <f>K8</f>
        <v>2222.2162687457057</v>
      </c>
      <c r="AV8" s="233">
        <f>K8</f>
        <v>2222.2162687457057</v>
      </c>
      <c r="AW8" s="255">
        <f t="shared" si="19"/>
        <v>6666.6488062371172</v>
      </c>
      <c r="AX8" s="234"/>
      <c r="AY8" s="233">
        <f>L8</f>
        <v>1666.6610903400228</v>
      </c>
      <c r="AZ8" s="233">
        <f>L8</f>
        <v>1666.6610903400228</v>
      </c>
      <c r="BA8" s="233">
        <f>L8</f>
        <v>1666.6610903400228</v>
      </c>
      <c r="BB8" s="255">
        <f t="shared" si="23"/>
        <v>4999.9832710200681</v>
      </c>
      <c r="BC8" s="234"/>
      <c r="BD8" s="233">
        <f>M8</f>
        <v>0</v>
      </c>
      <c r="BE8" s="233">
        <f>M8</f>
        <v>0</v>
      </c>
      <c r="BF8" s="233">
        <f>M8</f>
        <v>0</v>
      </c>
      <c r="BG8" s="255">
        <f t="shared" si="27"/>
        <v>0</v>
      </c>
      <c r="BH8" s="234"/>
      <c r="BI8" s="233">
        <f>N8</f>
        <v>0</v>
      </c>
      <c r="BJ8" s="233">
        <f>N8</f>
        <v>0</v>
      </c>
      <c r="BK8" s="233">
        <f>N8</f>
        <v>0</v>
      </c>
      <c r="BL8" s="255">
        <f t="shared" si="31"/>
        <v>0</v>
      </c>
      <c r="BM8" s="234"/>
      <c r="BN8" s="233">
        <f>P8</f>
        <v>0</v>
      </c>
      <c r="BO8" s="233">
        <f>P8</f>
        <v>0</v>
      </c>
      <c r="BP8" s="233">
        <f>P8</f>
        <v>0</v>
      </c>
      <c r="BQ8" s="255">
        <f t="shared" si="35"/>
        <v>0</v>
      </c>
      <c r="BR8" s="234"/>
      <c r="BS8" s="233">
        <f>Q8</f>
        <v>0</v>
      </c>
      <c r="BT8" s="233">
        <f>Q8</f>
        <v>0</v>
      </c>
      <c r="BU8" s="233">
        <f>Q8</f>
        <v>0</v>
      </c>
      <c r="BV8" s="255">
        <f t="shared" si="39"/>
        <v>0</v>
      </c>
      <c r="BW8" s="234"/>
      <c r="BX8" s="233">
        <f>R8</f>
        <v>0</v>
      </c>
      <c r="BY8" s="233">
        <f>R8</f>
        <v>0</v>
      </c>
      <c r="BZ8" s="233">
        <f>R8</f>
        <v>0</v>
      </c>
      <c r="CA8" s="255">
        <f>SUM(BX8:BZ8)</f>
        <v>0</v>
      </c>
      <c r="CB8" s="234"/>
      <c r="CC8" s="233">
        <f>S8</f>
        <v>0</v>
      </c>
      <c r="CD8" s="233">
        <f>S8</f>
        <v>0</v>
      </c>
      <c r="CE8" s="233">
        <f>S8</f>
        <v>0</v>
      </c>
      <c r="CF8" s="255">
        <f t="shared" si="47"/>
        <v>0</v>
      </c>
      <c r="CG8" s="235"/>
      <c r="CH8" s="110"/>
    </row>
    <row r="9" spans="1:175" s="10" customFormat="1" ht="9.75" customHeight="1" x14ac:dyDescent="0.15">
      <c r="A9" s="210" t="s">
        <v>180</v>
      </c>
      <c r="B9" s="257">
        <v>0.05</v>
      </c>
      <c r="C9" s="296">
        <v>-2E-3</v>
      </c>
      <c r="D9" s="470">
        <f>SUM(('Your Estimation'!B13+1)^(1/12)-1)</f>
        <v>0</v>
      </c>
      <c r="E9" s="463">
        <v>0</v>
      </c>
      <c r="F9" s="446">
        <v>0.01</v>
      </c>
      <c r="G9" s="212">
        <v>0.03</v>
      </c>
      <c r="H9" s="213">
        <f>SUM(IF((0*(IF(ISBLANK(E9),C9,E9)))+(IF(ISBLANK(D9),B9,D9)) &lt; 0, 0, (0*(IF(ISBLANK(E9),C9,E9)))+(IF(ISBLANK(D9),B9,D9))))</f>
        <v>0</v>
      </c>
      <c r="I9" s="213">
        <f>SUM(IF((1*(IF(ISBLANK(E9),C9,E9)))+(IF(ISBLANK(D9),B9,D9)) &lt; 0, 0, (1*(IF(ISBLANK(E9),C9,E9)))+(IF(ISBLANK(D9),B9,D9))))</f>
        <v>0</v>
      </c>
      <c r="J9" s="258">
        <f>SUM(((1+F9)*(1+F9)*(1+F9)*(1+G9)*(1+G9)*(1+G9)*(1+H9)*(1+H9)*(1+H9)*(1+I9)*(1+I9)*(1+I9))-1)</f>
        <v>0.12583772082700007</v>
      </c>
      <c r="K9" s="213">
        <f>SUM(IF((2*(IF(ISBLANK(E9),C9,E9)))+(IF(ISBLANK(D9),B9,D9)) &lt; 0, 0, (2*(IF(ISBLANK(E9),C9,E9)))+(IF(ISBLANK(D9),B9,D9))))</f>
        <v>0</v>
      </c>
      <c r="L9" s="213">
        <f>SUM(IF((3*(IF(ISBLANK(E9),C9,E9)))+(IF(ISBLANK(D9),B9,D9)) &lt; 0, 0, (3*(IF(ISBLANK(E9),C9,E9)))+(IF(ISBLANK(D9),B9,D9))))</f>
        <v>0</v>
      </c>
      <c r="M9" s="213">
        <f>SUM(IF((4*(IF(ISBLANK(E9),C9,E9)))+(IF(ISBLANK(D9),B9,D9)) &lt; 0, 0, (4*(IF(ISBLANK(E9),C9,E9)))+(IF(ISBLANK(D9),B9,D9))))</f>
        <v>0</v>
      </c>
      <c r="N9" s="213">
        <f>SUM(IF((5*(IF(ISBLANK(E9),C9,E9)))+(IF(ISBLANK(D9),B9,D9)) &lt; 0, 0, (5*(IF(ISBLANK(E9),C9,E9)))+(IF(ISBLANK(D9),B9,D9))))</f>
        <v>0</v>
      </c>
      <c r="O9" s="258">
        <f>SUM(((1+K9)*(1+K9)*(1+K9)*(1+L9)*(1+L9)*(1+L9)*(1+M9)*(1+M9)*(1+M9)*(1+N9)*(1+N9)*(1+N9))-1)</f>
        <v>0</v>
      </c>
      <c r="P9" s="213">
        <f>SUM(IF((6*(IF(ISBLANK(E9),C9,E9)))+(IF(ISBLANK(D9),B9,D9)) &lt; 0, 0, (6*(IF(ISBLANK(E9),C9,E9)))+(IF(ISBLANK(D9),B9,D9))))</f>
        <v>0</v>
      </c>
      <c r="Q9" s="213">
        <f>SUM(IF((7*(IF(ISBLANK(E9),C9,E9)))+(IF(ISBLANK(D9),B9,D9)) &lt; 0, 0, (7*(IF(ISBLANK(E9),C9,E9)))+(IF(ISBLANK(D9),B9,D9))))</f>
        <v>0</v>
      </c>
      <c r="R9" s="213">
        <f>SUM(IF((8*(IF(ISBLANK(E9),C9,E9)))+(IF(ISBLANK(D9),B9,D9)) &lt; 0, 0, (8*(IF(ISBLANK(E9),C9,E9)))+(IF(ISBLANK(D9),B9,D9))))</f>
        <v>0</v>
      </c>
      <c r="S9" s="213">
        <f>SUM(IF((9*(IF(ISBLANK(E9),C9,E9)))+(IF(ISBLANK(D9),B9,D9)) &lt; 0, 0, (9*(IF(ISBLANK(E9),C9,E9)))+(IF(ISBLANK(D9),B9,D9))))</f>
        <v>0</v>
      </c>
      <c r="T9" s="259">
        <f>SUM(((1+P9)*(1+P9)*(1+P9)*(1+Q9)*(1+Q9)*(1+Q9)*(1+R9)*(1+R9)*(1+R9)*(1+S9)*(1+S9)*(1+S9))-1)</f>
        <v>0</v>
      </c>
      <c r="U9" s="459">
        <f>SUM(('Your Estimation'!B13))</f>
        <v>0</v>
      </c>
      <c r="V9" s="258">
        <f>SUM(('Your Estimation'!B13))</f>
        <v>0</v>
      </c>
      <c r="W9" s="259">
        <f>SUM(('Your Estimation'!B13))</f>
        <v>0</v>
      </c>
      <c r="X9" s="443"/>
      <c r="Y9" s="498">
        <v>0</v>
      </c>
      <c r="Z9" s="213">
        <f>F9</f>
        <v>0.01</v>
      </c>
      <c r="AA9" s="213">
        <f>F9</f>
        <v>0.01</v>
      </c>
      <c r="AB9" s="213">
        <f>F9</f>
        <v>0.01</v>
      </c>
      <c r="AC9" s="258">
        <f t="shared" si="9"/>
        <v>0.03</v>
      </c>
      <c r="AD9" s="214"/>
      <c r="AE9" s="213">
        <f>G9</f>
        <v>0.03</v>
      </c>
      <c r="AF9" s="213">
        <f>G9</f>
        <v>0.03</v>
      </c>
      <c r="AG9" s="213">
        <f>G9</f>
        <v>0.03</v>
      </c>
      <c r="AH9" s="258">
        <f t="shared" si="10"/>
        <v>0.09</v>
      </c>
      <c r="AI9" s="214"/>
      <c r="AJ9" s="213">
        <f>H9</f>
        <v>0</v>
      </c>
      <c r="AK9" s="213">
        <f>H9</f>
        <v>0</v>
      </c>
      <c r="AL9" s="213">
        <f>H9</f>
        <v>0</v>
      </c>
      <c r="AM9" s="258">
        <f t="shared" si="11"/>
        <v>0</v>
      </c>
      <c r="AN9" s="214"/>
      <c r="AO9" s="213">
        <f>I9</f>
        <v>0</v>
      </c>
      <c r="AP9" s="213">
        <f>I9</f>
        <v>0</v>
      </c>
      <c r="AQ9" s="213">
        <f>I9</f>
        <v>0</v>
      </c>
      <c r="AR9" s="258">
        <f t="shared" si="15"/>
        <v>0</v>
      </c>
      <c r="AS9" s="214"/>
      <c r="AT9" s="213">
        <f>K9</f>
        <v>0</v>
      </c>
      <c r="AU9" s="213">
        <f>K9</f>
        <v>0</v>
      </c>
      <c r="AV9" s="213">
        <f>K9</f>
        <v>0</v>
      </c>
      <c r="AW9" s="258">
        <f t="shared" si="19"/>
        <v>0</v>
      </c>
      <c r="AX9" s="214"/>
      <c r="AY9" s="213">
        <f>L9</f>
        <v>0</v>
      </c>
      <c r="AZ9" s="213">
        <f>L9</f>
        <v>0</v>
      </c>
      <c r="BA9" s="213">
        <f>L9</f>
        <v>0</v>
      </c>
      <c r="BB9" s="258">
        <f t="shared" si="23"/>
        <v>0</v>
      </c>
      <c r="BC9" s="214"/>
      <c r="BD9" s="213">
        <f>M9</f>
        <v>0</v>
      </c>
      <c r="BE9" s="213">
        <f>M9</f>
        <v>0</v>
      </c>
      <c r="BF9" s="213">
        <f>M9</f>
        <v>0</v>
      </c>
      <c r="BG9" s="258">
        <f t="shared" si="27"/>
        <v>0</v>
      </c>
      <c r="BH9" s="214"/>
      <c r="BI9" s="213">
        <f>N9</f>
        <v>0</v>
      </c>
      <c r="BJ9" s="213">
        <f>N9</f>
        <v>0</v>
      </c>
      <c r="BK9" s="213">
        <f>N9</f>
        <v>0</v>
      </c>
      <c r="BL9" s="258">
        <f t="shared" ref="BL9:BL15" si="51">SUM((BI9+BJ9+BK9))</f>
        <v>0</v>
      </c>
      <c r="BM9" s="214"/>
      <c r="BN9" s="213">
        <f>P9</f>
        <v>0</v>
      </c>
      <c r="BO9" s="213">
        <f>P9</f>
        <v>0</v>
      </c>
      <c r="BP9" s="213">
        <f>P9</f>
        <v>0</v>
      </c>
      <c r="BQ9" s="258">
        <f t="shared" ref="BQ9:BQ15" si="52">SUM((BN9+BO9+BP9))</f>
        <v>0</v>
      </c>
      <c r="BR9" s="214"/>
      <c r="BS9" s="213">
        <f>Q9</f>
        <v>0</v>
      </c>
      <c r="BT9" s="213">
        <f>Q9</f>
        <v>0</v>
      </c>
      <c r="BU9" s="213">
        <f>Q9</f>
        <v>0</v>
      </c>
      <c r="BV9" s="258">
        <f t="shared" ref="BV9:BV15" si="53">SUM((BS9+BT9+BU9))</f>
        <v>0</v>
      </c>
      <c r="BW9" s="214"/>
      <c r="BX9" s="213">
        <f>R9</f>
        <v>0</v>
      </c>
      <c r="BY9" s="213">
        <f>R9</f>
        <v>0</v>
      </c>
      <c r="BZ9" s="213">
        <f>R9</f>
        <v>0</v>
      </c>
      <c r="CA9" s="258">
        <f t="shared" ref="CA9:CA16" si="54">SUM((BX9+BY9+BZ9))</f>
        <v>0</v>
      </c>
      <c r="CB9" s="214"/>
      <c r="CC9" s="213">
        <f>S9</f>
        <v>0</v>
      </c>
      <c r="CD9" s="213">
        <f>S9</f>
        <v>0</v>
      </c>
      <c r="CE9" s="213">
        <f>S9</f>
        <v>0</v>
      </c>
      <c r="CF9" s="258">
        <f t="shared" ref="CF9:CF16" si="55">SUM((CC9+CD9+CE9))</f>
        <v>0</v>
      </c>
      <c r="CG9" s="215"/>
    </row>
    <row r="10" spans="1:175" s="10" customFormat="1" ht="9.75" customHeight="1" x14ac:dyDescent="0.15">
      <c r="A10" s="482" t="s">
        <v>181</v>
      </c>
      <c r="B10" s="260">
        <v>0.06</v>
      </c>
      <c r="C10" s="293">
        <v>-5.0000000000000001E-3</v>
      </c>
      <c r="D10" s="471">
        <f>SUM(('Your Estimation'!B48+1)^(1/12)-1)</f>
        <v>0</v>
      </c>
      <c r="E10" s="464">
        <v>0</v>
      </c>
      <c r="F10" s="118">
        <v>0</v>
      </c>
      <c r="G10" s="126">
        <v>0.02</v>
      </c>
      <c r="H10" s="112">
        <f t="shared" ref="H10:H13" si="56">SUM(IF((0*(IF(ISBLANK(E10),C10,E10)))+(IF(ISBLANK(D10),B10,D10)) &lt; 0, 0, (0*(IF(ISBLANK(E10),C10,E10)))+(IF(ISBLANK(D10),B10,D10))))</f>
        <v>0</v>
      </c>
      <c r="I10" s="112">
        <f t="shared" ref="I10:I13" si="57">SUM(IF((1*(IF(ISBLANK(E10),C10,E10)))+(IF(ISBLANK(D10),B10,D10)) &lt; 0, 0, (1*(IF(ISBLANK(E10),C10,E10)))+(IF(ISBLANK(D10),B10,D10))))</f>
        <v>0</v>
      </c>
      <c r="J10" s="261">
        <f t="shared" ref="J10:J13" si="58">SUM(((1+F10)*(1+F10)*(1+F10)*(1+G10)*(1+G10)*(1+G10)*(1+H10)*(1+H10)*(1+H10)*(1+I10)*(1+I10)*(1+I10))-1)</f>
        <v>6.1207999999999929E-2</v>
      </c>
      <c r="K10" s="112">
        <f t="shared" ref="K10:K13" si="59">SUM(IF((2*(IF(ISBLANK(E10),C10,E10)))+(IF(ISBLANK(D10),B10,D10)) &lt; 0, 0, (2*(IF(ISBLANK(E10),C10,E10)))+(IF(ISBLANK(D10),B10,D10))))</f>
        <v>0</v>
      </c>
      <c r="L10" s="112">
        <f t="shared" ref="L10:L13" si="60">SUM(IF((3*(IF(ISBLANK(E10),C10,E10)))+(IF(ISBLANK(D10),B10,D10)) &lt; 0, 0, (3*(IF(ISBLANK(E10),C10,E10)))+(IF(ISBLANK(D10),B10,D10))))</f>
        <v>0</v>
      </c>
      <c r="M10" s="112">
        <f t="shared" ref="M10:M13" si="61">SUM(IF((4*(IF(ISBLANK(E10),C10,E10)))+(IF(ISBLANK(D10),B10,D10)) &lt; 0, 0, (4*(IF(ISBLANK(E10),C10,E10)))+(IF(ISBLANK(D10),B10,D10))))</f>
        <v>0</v>
      </c>
      <c r="N10" s="112">
        <f t="shared" ref="N10:N13" si="62">SUM(IF((5*(IF(ISBLANK(E10),C10,E10)))+(IF(ISBLANK(D10),B10,D10)) &lt; 0, 0, (5*(IF(ISBLANK(E10),C10,E10)))+(IF(ISBLANK(D10),B10,D10))))</f>
        <v>0</v>
      </c>
      <c r="O10" s="261">
        <f t="shared" ref="O10:O15" si="63">SUM(((1+K10)*(1+K10)*(1+K10)*(1+L10)*(1+L10)*(1+L10)*(1+M10)*(1+M10)*(1+M10)*(1+N10)*(1+N10)*(1+N10))-1)</f>
        <v>0</v>
      </c>
      <c r="P10" s="112">
        <f t="shared" ref="P10:P13" si="64">SUM(IF((6*(IF(ISBLANK(E10),C10,E10)))+(IF(ISBLANK(D10),B10,D10)) &lt; 0, 0, (6*(IF(ISBLANK(E10),C10,E10)))+(IF(ISBLANK(D10),B10,D10))))</f>
        <v>0</v>
      </c>
      <c r="Q10" s="112">
        <f t="shared" ref="Q10:Q13" si="65">SUM(IF((7*(IF(ISBLANK(E10),C10,E10)))+(IF(ISBLANK(D10),B10,D10)) &lt; 0, 0, (7*(IF(ISBLANK(E10),C10,E10)))+(IF(ISBLANK(D10),B10,D10))))</f>
        <v>0</v>
      </c>
      <c r="R10" s="112">
        <f t="shared" ref="R10:R13" si="66">SUM(IF((8*(IF(ISBLANK(E10),C10,E10)))+(IF(ISBLANK(D10),B10,D10)) &lt; 0, 0, (8*(IF(ISBLANK(E10),C10,E10)))+(IF(ISBLANK(D10),B10,D10))))</f>
        <v>0</v>
      </c>
      <c r="S10" s="112">
        <f t="shared" ref="S10:S13" si="67">SUM(IF((9*(IF(ISBLANK(E10),C10,E10)))+(IF(ISBLANK(D10),B10,D10)) &lt; 0, 0, (9*(IF(ISBLANK(E10),C10,E10)))+(IF(ISBLANK(D10),B10,D10))))</f>
        <v>0</v>
      </c>
      <c r="T10" s="262">
        <f t="shared" ref="T10:T15" si="68">SUM(((1+P10)*(1+P10)*(1+P10)*(1+Q10)*(1+Q10)*(1+Q10)*(1+R10)*(1+R10)*(1+R10)*(1+S10)*(1+S10)*(1+S10))-1)</f>
        <v>0</v>
      </c>
      <c r="U10" s="460">
        <f>SUM(('Your Estimation'!B48))</f>
        <v>0</v>
      </c>
      <c r="V10" s="261">
        <f>SUM(('Your Estimation'!B48))</f>
        <v>0</v>
      </c>
      <c r="W10" s="262">
        <f>SUM(('Your Estimation'!B48))</f>
        <v>0</v>
      </c>
      <c r="X10" s="444"/>
      <c r="Y10" s="499">
        <v>0</v>
      </c>
      <c r="Z10" s="112">
        <f t="shared" ref="Z10:Z13" si="69">F10</f>
        <v>0</v>
      </c>
      <c r="AA10" s="112">
        <f t="shared" ref="AA10:AA13" si="70">F10</f>
        <v>0</v>
      </c>
      <c r="AB10" s="112">
        <f t="shared" ref="AB10:AB13" si="71">F10</f>
        <v>0</v>
      </c>
      <c r="AC10" s="261">
        <f t="shared" si="9"/>
        <v>0</v>
      </c>
      <c r="AD10" s="114"/>
      <c r="AE10" s="112">
        <f t="shared" ref="AE10:AE13" si="72">G10</f>
        <v>0.02</v>
      </c>
      <c r="AF10" s="112">
        <f t="shared" ref="AF10:AF13" si="73">G10</f>
        <v>0.02</v>
      </c>
      <c r="AG10" s="112">
        <f t="shared" ref="AG10:AG13" si="74">G10</f>
        <v>0.02</v>
      </c>
      <c r="AH10" s="261">
        <f t="shared" si="10"/>
        <v>0.06</v>
      </c>
      <c r="AI10" s="114"/>
      <c r="AJ10" s="112">
        <f t="shared" ref="AJ10:AJ13" si="75">H10</f>
        <v>0</v>
      </c>
      <c r="AK10" s="112">
        <f t="shared" ref="AK10:AK13" si="76">H10</f>
        <v>0</v>
      </c>
      <c r="AL10" s="112">
        <f t="shared" ref="AL10:AL13" si="77">H10</f>
        <v>0</v>
      </c>
      <c r="AM10" s="261">
        <f t="shared" si="11"/>
        <v>0</v>
      </c>
      <c r="AN10" s="114"/>
      <c r="AO10" s="112">
        <f t="shared" ref="AO10:AO13" si="78">I10</f>
        <v>0</v>
      </c>
      <c r="AP10" s="112">
        <f t="shared" ref="AP10:AP13" si="79">I10</f>
        <v>0</v>
      </c>
      <c r="AQ10" s="112">
        <f t="shared" ref="AQ10:AQ13" si="80">I10</f>
        <v>0</v>
      </c>
      <c r="AR10" s="261">
        <f t="shared" si="15"/>
        <v>0</v>
      </c>
      <c r="AS10" s="114"/>
      <c r="AT10" s="112">
        <f t="shared" ref="AT10:AT13" si="81">K10</f>
        <v>0</v>
      </c>
      <c r="AU10" s="112">
        <f t="shared" ref="AU10:AU13" si="82">K10</f>
        <v>0</v>
      </c>
      <c r="AV10" s="112">
        <f t="shared" ref="AV10:AV13" si="83">K10</f>
        <v>0</v>
      </c>
      <c r="AW10" s="261">
        <f t="shared" si="19"/>
        <v>0</v>
      </c>
      <c r="AX10" s="114"/>
      <c r="AY10" s="112">
        <f t="shared" ref="AY10:AY13" si="84">L10</f>
        <v>0</v>
      </c>
      <c r="AZ10" s="112">
        <f t="shared" ref="AZ10:AZ13" si="85">L10</f>
        <v>0</v>
      </c>
      <c r="BA10" s="112">
        <f t="shared" ref="BA10:BA13" si="86">L10</f>
        <v>0</v>
      </c>
      <c r="BB10" s="261">
        <f t="shared" si="23"/>
        <v>0</v>
      </c>
      <c r="BC10" s="114"/>
      <c r="BD10" s="112">
        <f t="shared" ref="BD10:BD13" si="87">M10</f>
        <v>0</v>
      </c>
      <c r="BE10" s="112">
        <f t="shared" ref="BE10:BE13" si="88">M10</f>
        <v>0</v>
      </c>
      <c r="BF10" s="112">
        <f t="shared" ref="BF10:BF13" si="89">M10</f>
        <v>0</v>
      </c>
      <c r="BG10" s="261">
        <f t="shared" si="27"/>
        <v>0</v>
      </c>
      <c r="BH10" s="114"/>
      <c r="BI10" s="112">
        <f t="shared" ref="BI10:BI13" si="90">N10</f>
        <v>0</v>
      </c>
      <c r="BJ10" s="112">
        <f t="shared" ref="BJ10:BJ13" si="91">N10</f>
        <v>0</v>
      </c>
      <c r="BK10" s="112">
        <f t="shared" ref="BK10:BK13" si="92">N10</f>
        <v>0</v>
      </c>
      <c r="BL10" s="261">
        <f t="shared" si="51"/>
        <v>0</v>
      </c>
      <c r="BM10" s="114"/>
      <c r="BN10" s="112">
        <f t="shared" ref="BN10:BN13" si="93">P10</f>
        <v>0</v>
      </c>
      <c r="BO10" s="112">
        <f t="shared" ref="BO10:BO13" si="94">P10</f>
        <v>0</v>
      </c>
      <c r="BP10" s="112">
        <f t="shared" ref="BP10:BP13" si="95">P10</f>
        <v>0</v>
      </c>
      <c r="BQ10" s="261">
        <f t="shared" si="52"/>
        <v>0</v>
      </c>
      <c r="BR10" s="114"/>
      <c r="BS10" s="112">
        <f t="shared" ref="BS10:BS13" si="96">Q10</f>
        <v>0</v>
      </c>
      <c r="BT10" s="112">
        <f t="shared" ref="BT10:BT13" si="97">Q10</f>
        <v>0</v>
      </c>
      <c r="BU10" s="112">
        <f t="shared" ref="BU10:BU13" si="98">Q10</f>
        <v>0</v>
      </c>
      <c r="BV10" s="261">
        <f t="shared" si="53"/>
        <v>0</v>
      </c>
      <c r="BW10" s="114"/>
      <c r="BX10" s="112">
        <f t="shared" ref="BX10:BX13" si="99">R10</f>
        <v>0</v>
      </c>
      <c r="BY10" s="112">
        <f t="shared" ref="BY10:BY13" si="100">R10</f>
        <v>0</v>
      </c>
      <c r="BZ10" s="112">
        <f t="shared" ref="BZ10:BZ13" si="101">R10</f>
        <v>0</v>
      </c>
      <c r="CA10" s="261">
        <f t="shared" si="54"/>
        <v>0</v>
      </c>
      <c r="CB10" s="114"/>
      <c r="CC10" s="112">
        <f t="shared" ref="CC10:CC13" si="102">S10</f>
        <v>0</v>
      </c>
      <c r="CD10" s="112">
        <f t="shared" ref="CD10:CD13" si="103">S10</f>
        <v>0</v>
      </c>
      <c r="CE10" s="112">
        <f t="shared" ref="CE10:CE13" si="104">S10</f>
        <v>0</v>
      </c>
      <c r="CF10" s="261">
        <f t="shared" si="55"/>
        <v>0</v>
      </c>
      <c r="CG10" s="113"/>
    </row>
    <row r="11" spans="1:175" s="10" customFormat="1" ht="9.75" customHeight="1" x14ac:dyDescent="0.15">
      <c r="A11" s="482" t="s">
        <v>183</v>
      </c>
      <c r="B11" s="260">
        <v>0.06</v>
      </c>
      <c r="C11" s="293">
        <v>-2E-3</v>
      </c>
      <c r="D11" s="471">
        <f>SUM(('Your Estimation'!B53+1)^(1/12)-1)</f>
        <v>0</v>
      </c>
      <c r="E11" s="464">
        <v>0</v>
      </c>
      <c r="F11" s="118">
        <v>0</v>
      </c>
      <c r="G11" s="126">
        <v>0.02</v>
      </c>
      <c r="H11" s="112">
        <f t="shared" si="56"/>
        <v>0</v>
      </c>
      <c r="I11" s="112">
        <f t="shared" si="57"/>
        <v>0</v>
      </c>
      <c r="J11" s="261">
        <f t="shared" si="58"/>
        <v>6.1207999999999929E-2</v>
      </c>
      <c r="K11" s="112">
        <f t="shared" si="59"/>
        <v>0</v>
      </c>
      <c r="L11" s="112">
        <f t="shared" si="60"/>
        <v>0</v>
      </c>
      <c r="M11" s="112">
        <f t="shared" si="61"/>
        <v>0</v>
      </c>
      <c r="N11" s="112">
        <f t="shared" si="62"/>
        <v>0</v>
      </c>
      <c r="O11" s="261">
        <f t="shared" si="63"/>
        <v>0</v>
      </c>
      <c r="P11" s="112">
        <f t="shared" si="64"/>
        <v>0</v>
      </c>
      <c r="Q11" s="112">
        <f t="shared" si="65"/>
        <v>0</v>
      </c>
      <c r="R11" s="112">
        <f t="shared" si="66"/>
        <v>0</v>
      </c>
      <c r="S11" s="112">
        <f t="shared" si="67"/>
        <v>0</v>
      </c>
      <c r="T11" s="262">
        <f t="shared" si="68"/>
        <v>0</v>
      </c>
      <c r="U11" s="460">
        <f>SUM(('Your Estimation'!B53))</f>
        <v>0</v>
      </c>
      <c r="V11" s="261">
        <f>SUM(('Your Estimation'!B53))</f>
        <v>0</v>
      </c>
      <c r="W11" s="262">
        <f>SUM(('Your Estimation'!B53))</f>
        <v>0</v>
      </c>
      <c r="X11" s="444"/>
      <c r="Y11" s="499">
        <v>0</v>
      </c>
      <c r="Z11" s="112">
        <f t="shared" si="69"/>
        <v>0</v>
      </c>
      <c r="AA11" s="112">
        <f t="shared" si="70"/>
        <v>0</v>
      </c>
      <c r="AB11" s="112">
        <f t="shared" si="71"/>
        <v>0</v>
      </c>
      <c r="AC11" s="261">
        <f t="shared" si="9"/>
        <v>0</v>
      </c>
      <c r="AD11" s="114"/>
      <c r="AE11" s="112">
        <f t="shared" si="72"/>
        <v>0.02</v>
      </c>
      <c r="AF11" s="112">
        <f t="shared" si="73"/>
        <v>0.02</v>
      </c>
      <c r="AG11" s="112">
        <f t="shared" si="74"/>
        <v>0.02</v>
      </c>
      <c r="AH11" s="261">
        <f t="shared" si="10"/>
        <v>0.06</v>
      </c>
      <c r="AI11" s="114"/>
      <c r="AJ11" s="112">
        <f t="shared" si="75"/>
        <v>0</v>
      </c>
      <c r="AK11" s="112">
        <f t="shared" si="76"/>
        <v>0</v>
      </c>
      <c r="AL11" s="112">
        <f t="shared" si="77"/>
        <v>0</v>
      </c>
      <c r="AM11" s="261">
        <f t="shared" si="11"/>
        <v>0</v>
      </c>
      <c r="AN11" s="114"/>
      <c r="AO11" s="112">
        <f t="shared" si="78"/>
        <v>0</v>
      </c>
      <c r="AP11" s="112">
        <f t="shared" si="79"/>
        <v>0</v>
      </c>
      <c r="AQ11" s="112">
        <f t="shared" si="80"/>
        <v>0</v>
      </c>
      <c r="AR11" s="261">
        <f t="shared" si="15"/>
        <v>0</v>
      </c>
      <c r="AS11" s="114"/>
      <c r="AT11" s="112">
        <f t="shared" si="81"/>
        <v>0</v>
      </c>
      <c r="AU11" s="112">
        <f t="shared" si="82"/>
        <v>0</v>
      </c>
      <c r="AV11" s="112">
        <f t="shared" si="83"/>
        <v>0</v>
      </c>
      <c r="AW11" s="261">
        <f t="shared" si="19"/>
        <v>0</v>
      </c>
      <c r="AX11" s="114"/>
      <c r="AY11" s="112">
        <f t="shared" si="84"/>
        <v>0</v>
      </c>
      <c r="AZ11" s="112">
        <f t="shared" si="85"/>
        <v>0</v>
      </c>
      <c r="BA11" s="112">
        <f t="shared" si="86"/>
        <v>0</v>
      </c>
      <c r="BB11" s="261">
        <f t="shared" si="23"/>
        <v>0</v>
      </c>
      <c r="BC11" s="114"/>
      <c r="BD11" s="112">
        <f t="shared" si="87"/>
        <v>0</v>
      </c>
      <c r="BE11" s="112">
        <f t="shared" si="88"/>
        <v>0</v>
      </c>
      <c r="BF11" s="112">
        <f t="shared" si="89"/>
        <v>0</v>
      </c>
      <c r="BG11" s="261">
        <f t="shared" si="27"/>
        <v>0</v>
      </c>
      <c r="BH11" s="114"/>
      <c r="BI11" s="112">
        <f t="shared" si="90"/>
        <v>0</v>
      </c>
      <c r="BJ11" s="112">
        <f t="shared" si="91"/>
        <v>0</v>
      </c>
      <c r="BK11" s="112">
        <f t="shared" si="92"/>
        <v>0</v>
      </c>
      <c r="BL11" s="261">
        <f t="shared" si="51"/>
        <v>0</v>
      </c>
      <c r="BM11" s="114"/>
      <c r="BN11" s="112">
        <f t="shared" si="93"/>
        <v>0</v>
      </c>
      <c r="BO11" s="112">
        <f t="shared" si="94"/>
        <v>0</v>
      </c>
      <c r="BP11" s="112">
        <f t="shared" si="95"/>
        <v>0</v>
      </c>
      <c r="BQ11" s="261">
        <f t="shared" si="52"/>
        <v>0</v>
      </c>
      <c r="BR11" s="114"/>
      <c r="BS11" s="112">
        <f t="shared" si="96"/>
        <v>0</v>
      </c>
      <c r="BT11" s="112">
        <f t="shared" si="97"/>
        <v>0</v>
      </c>
      <c r="BU11" s="112">
        <f t="shared" si="98"/>
        <v>0</v>
      </c>
      <c r="BV11" s="261">
        <f t="shared" si="53"/>
        <v>0</v>
      </c>
      <c r="BW11" s="114"/>
      <c r="BX11" s="112">
        <f t="shared" si="99"/>
        <v>0</v>
      </c>
      <c r="BY11" s="112">
        <f t="shared" si="100"/>
        <v>0</v>
      </c>
      <c r="BZ11" s="112">
        <f t="shared" si="101"/>
        <v>0</v>
      </c>
      <c r="CA11" s="261">
        <f t="shared" si="54"/>
        <v>0</v>
      </c>
      <c r="CB11" s="114"/>
      <c r="CC11" s="112">
        <f t="shared" si="102"/>
        <v>0</v>
      </c>
      <c r="CD11" s="112">
        <f t="shared" si="103"/>
        <v>0</v>
      </c>
      <c r="CE11" s="112">
        <f t="shared" si="104"/>
        <v>0</v>
      </c>
      <c r="CF11" s="261">
        <f t="shared" si="55"/>
        <v>0</v>
      </c>
      <c r="CG11" s="113"/>
    </row>
    <row r="12" spans="1:175" s="10" customFormat="1" ht="9.75" customHeight="1" x14ac:dyDescent="0.15">
      <c r="A12" s="482" t="s">
        <v>182</v>
      </c>
      <c r="B12" s="260">
        <v>0.06</v>
      </c>
      <c r="C12" s="293">
        <v>-1.7999999999999999E-2</v>
      </c>
      <c r="D12" s="413">
        <v>0</v>
      </c>
      <c r="E12" s="464">
        <v>0</v>
      </c>
      <c r="F12" s="118">
        <v>0</v>
      </c>
      <c r="G12" s="126">
        <v>0.05</v>
      </c>
      <c r="H12" s="112">
        <f t="shared" si="56"/>
        <v>0</v>
      </c>
      <c r="I12" s="112">
        <f t="shared" si="57"/>
        <v>0</v>
      </c>
      <c r="J12" s="261">
        <f t="shared" si="58"/>
        <v>0.15762500000000013</v>
      </c>
      <c r="K12" s="112">
        <f t="shared" si="59"/>
        <v>0</v>
      </c>
      <c r="L12" s="112">
        <f t="shared" si="60"/>
        <v>0</v>
      </c>
      <c r="M12" s="112">
        <f t="shared" si="61"/>
        <v>0</v>
      </c>
      <c r="N12" s="112">
        <f t="shared" si="62"/>
        <v>0</v>
      </c>
      <c r="O12" s="261">
        <f t="shared" si="63"/>
        <v>0</v>
      </c>
      <c r="P12" s="112">
        <f t="shared" si="64"/>
        <v>0</v>
      </c>
      <c r="Q12" s="112">
        <f t="shared" si="65"/>
        <v>0</v>
      </c>
      <c r="R12" s="112">
        <f t="shared" si="66"/>
        <v>0</v>
      </c>
      <c r="S12" s="112">
        <f t="shared" si="67"/>
        <v>0</v>
      </c>
      <c r="T12" s="262">
        <f t="shared" si="68"/>
        <v>0</v>
      </c>
      <c r="U12" s="460">
        <f>SUM(IF((12*(IF(ISBLANK(E12),C12,E12)))+(IF(ISBLANK(D12),B12,D12)) &lt; 0, 0, (12*(IF(ISBLANK(E12),C12,E12)))+(IF(ISBLANK(D12),B12,D12))))*12</f>
        <v>0</v>
      </c>
      <c r="V12" s="261">
        <f>SUM(IF((15*(IF(ISBLANK(E12),C12,E12)))+(IF(ISBLANK(D12),B12,D12)) &lt; 0, 0, (15*(IF(ISBLANK(E12),C12,E12)))+(IF(ISBLANK(D12),B12,D12))))*12</f>
        <v>0</v>
      </c>
      <c r="W12" s="262">
        <f>SUM(IF((18*(IF(ISBLANK(E12),C12,E12)))+(IF(ISBLANK(D12),B12,D12)) &lt; 0, 0, (18*(IF(ISBLANK(E12),C12,E12)))+(IF(ISBLANK(D12),B12,D12))))*12</f>
        <v>0</v>
      </c>
      <c r="X12" s="444"/>
      <c r="Y12" s="499">
        <v>0</v>
      </c>
      <c r="Z12" s="112">
        <f t="shared" si="69"/>
        <v>0</v>
      </c>
      <c r="AA12" s="112">
        <f t="shared" si="70"/>
        <v>0</v>
      </c>
      <c r="AB12" s="112">
        <f t="shared" si="71"/>
        <v>0</v>
      </c>
      <c r="AC12" s="261">
        <f t="shared" si="9"/>
        <v>0</v>
      </c>
      <c r="AD12" s="114"/>
      <c r="AE12" s="112">
        <f t="shared" si="72"/>
        <v>0.05</v>
      </c>
      <c r="AF12" s="112">
        <f t="shared" si="73"/>
        <v>0.05</v>
      </c>
      <c r="AG12" s="112">
        <f t="shared" si="74"/>
        <v>0.05</v>
      </c>
      <c r="AH12" s="261">
        <f t="shared" si="10"/>
        <v>0.15000000000000002</v>
      </c>
      <c r="AI12" s="114"/>
      <c r="AJ12" s="112">
        <f t="shared" si="75"/>
        <v>0</v>
      </c>
      <c r="AK12" s="112">
        <f t="shared" si="76"/>
        <v>0</v>
      </c>
      <c r="AL12" s="112">
        <f t="shared" si="77"/>
        <v>0</v>
      </c>
      <c r="AM12" s="261">
        <f t="shared" si="11"/>
        <v>0</v>
      </c>
      <c r="AN12" s="114"/>
      <c r="AO12" s="112">
        <f t="shared" si="78"/>
        <v>0</v>
      </c>
      <c r="AP12" s="112">
        <f t="shared" si="79"/>
        <v>0</v>
      </c>
      <c r="AQ12" s="112">
        <f t="shared" si="80"/>
        <v>0</v>
      </c>
      <c r="AR12" s="261">
        <f t="shared" si="15"/>
        <v>0</v>
      </c>
      <c r="AS12" s="114"/>
      <c r="AT12" s="112">
        <f t="shared" si="81"/>
        <v>0</v>
      </c>
      <c r="AU12" s="112">
        <f t="shared" si="82"/>
        <v>0</v>
      </c>
      <c r="AV12" s="112">
        <f t="shared" si="83"/>
        <v>0</v>
      </c>
      <c r="AW12" s="261">
        <f t="shared" si="19"/>
        <v>0</v>
      </c>
      <c r="AX12" s="114"/>
      <c r="AY12" s="112">
        <f t="shared" si="84"/>
        <v>0</v>
      </c>
      <c r="AZ12" s="112">
        <f t="shared" si="85"/>
        <v>0</v>
      </c>
      <c r="BA12" s="112">
        <f t="shared" si="86"/>
        <v>0</v>
      </c>
      <c r="BB12" s="261">
        <f t="shared" si="23"/>
        <v>0</v>
      </c>
      <c r="BC12" s="114"/>
      <c r="BD12" s="112">
        <f t="shared" si="87"/>
        <v>0</v>
      </c>
      <c r="BE12" s="112">
        <f t="shared" si="88"/>
        <v>0</v>
      </c>
      <c r="BF12" s="112">
        <f t="shared" si="89"/>
        <v>0</v>
      </c>
      <c r="BG12" s="261">
        <f t="shared" si="27"/>
        <v>0</v>
      </c>
      <c r="BH12" s="114"/>
      <c r="BI12" s="112">
        <f t="shared" si="90"/>
        <v>0</v>
      </c>
      <c r="BJ12" s="112">
        <f t="shared" si="91"/>
        <v>0</v>
      </c>
      <c r="BK12" s="112">
        <f t="shared" si="92"/>
        <v>0</v>
      </c>
      <c r="BL12" s="261">
        <f t="shared" si="51"/>
        <v>0</v>
      </c>
      <c r="BM12" s="114"/>
      <c r="BN12" s="112">
        <f t="shared" si="93"/>
        <v>0</v>
      </c>
      <c r="BO12" s="112">
        <f t="shared" si="94"/>
        <v>0</v>
      </c>
      <c r="BP12" s="112">
        <f t="shared" si="95"/>
        <v>0</v>
      </c>
      <c r="BQ12" s="261">
        <f t="shared" si="52"/>
        <v>0</v>
      </c>
      <c r="BR12" s="114"/>
      <c r="BS12" s="112">
        <f t="shared" si="96"/>
        <v>0</v>
      </c>
      <c r="BT12" s="112">
        <f t="shared" si="97"/>
        <v>0</v>
      </c>
      <c r="BU12" s="112">
        <f t="shared" si="98"/>
        <v>0</v>
      </c>
      <c r="BV12" s="261">
        <f t="shared" si="53"/>
        <v>0</v>
      </c>
      <c r="BW12" s="114"/>
      <c r="BX12" s="112">
        <f t="shared" si="99"/>
        <v>0</v>
      </c>
      <c r="BY12" s="112">
        <f t="shared" si="100"/>
        <v>0</v>
      </c>
      <c r="BZ12" s="112">
        <f t="shared" si="101"/>
        <v>0</v>
      </c>
      <c r="CA12" s="261">
        <f t="shared" si="54"/>
        <v>0</v>
      </c>
      <c r="CB12" s="114"/>
      <c r="CC12" s="112">
        <f t="shared" si="102"/>
        <v>0</v>
      </c>
      <c r="CD12" s="112">
        <f t="shared" si="103"/>
        <v>0</v>
      </c>
      <c r="CE12" s="112">
        <f t="shared" si="104"/>
        <v>0</v>
      </c>
      <c r="CF12" s="261">
        <f t="shared" si="55"/>
        <v>0</v>
      </c>
      <c r="CG12" s="113"/>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row>
    <row r="13" spans="1:175" s="10" customFormat="1" ht="9.75" customHeight="1" thickBot="1" x14ac:dyDescent="0.2">
      <c r="A13" s="483" t="s">
        <v>184</v>
      </c>
      <c r="B13" s="263">
        <v>0.04</v>
      </c>
      <c r="C13" s="297">
        <v>-1.4999999999999999E-2</v>
      </c>
      <c r="D13" s="472">
        <f>SUM(('Your Estimation'!B58+1)^(1/12)-1)</f>
        <v>0</v>
      </c>
      <c r="E13" s="465">
        <v>0</v>
      </c>
      <c r="F13" s="447">
        <v>0</v>
      </c>
      <c r="G13" s="245">
        <v>0</v>
      </c>
      <c r="H13" s="217">
        <f t="shared" si="56"/>
        <v>0</v>
      </c>
      <c r="I13" s="217">
        <f t="shared" si="57"/>
        <v>0</v>
      </c>
      <c r="J13" s="264">
        <f t="shared" si="58"/>
        <v>0</v>
      </c>
      <c r="K13" s="217">
        <f t="shared" si="59"/>
        <v>0</v>
      </c>
      <c r="L13" s="217">
        <f t="shared" si="60"/>
        <v>0</v>
      </c>
      <c r="M13" s="217">
        <f t="shared" si="61"/>
        <v>0</v>
      </c>
      <c r="N13" s="217">
        <f t="shared" si="62"/>
        <v>0</v>
      </c>
      <c r="O13" s="264">
        <f t="shared" si="63"/>
        <v>0</v>
      </c>
      <c r="P13" s="217">
        <f t="shared" si="64"/>
        <v>0</v>
      </c>
      <c r="Q13" s="217">
        <f t="shared" si="65"/>
        <v>0</v>
      </c>
      <c r="R13" s="217">
        <f t="shared" si="66"/>
        <v>0</v>
      </c>
      <c r="S13" s="217">
        <f t="shared" si="67"/>
        <v>0</v>
      </c>
      <c r="T13" s="265">
        <f t="shared" si="68"/>
        <v>0</v>
      </c>
      <c r="U13" s="461">
        <f>SUM(('Your Estimation'!B58))</f>
        <v>0</v>
      </c>
      <c r="V13" s="264">
        <f>SUM(('Your Estimation'!B58))</f>
        <v>0</v>
      </c>
      <c r="W13" s="265">
        <f>SUM(('Your Estimation'!B58))</f>
        <v>0</v>
      </c>
      <c r="X13" s="445"/>
      <c r="Y13" s="500">
        <v>0</v>
      </c>
      <c r="Z13" s="217">
        <f t="shared" si="69"/>
        <v>0</v>
      </c>
      <c r="AA13" s="217">
        <f t="shared" si="70"/>
        <v>0</v>
      </c>
      <c r="AB13" s="217">
        <f t="shared" si="71"/>
        <v>0</v>
      </c>
      <c r="AC13" s="264">
        <f t="shared" si="9"/>
        <v>0</v>
      </c>
      <c r="AD13" s="218"/>
      <c r="AE13" s="217">
        <f t="shared" si="72"/>
        <v>0</v>
      </c>
      <c r="AF13" s="217">
        <f t="shared" si="73"/>
        <v>0</v>
      </c>
      <c r="AG13" s="217">
        <f t="shared" si="74"/>
        <v>0</v>
      </c>
      <c r="AH13" s="264">
        <f t="shared" si="10"/>
        <v>0</v>
      </c>
      <c r="AI13" s="218"/>
      <c r="AJ13" s="217">
        <f t="shared" si="75"/>
        <v>0</v>
      </c>
      <c r="AK13" s="217">
        <f t="shared" si="76"/>
        <v>0</v>
      </c>
      <c r="AL13" s="217">
        <f t="shared" si="77"/>
        <v>0</v>
      </c>
      <c r="AM13" s="264">
        <f t="shared" si="11"/>
        <v>0</v>
      </c>
      <c r="AN13" s="218"/>
      <c r="AO13" s="217">
        <f t="shared" si="78"/>
        <v>0</v>
      </c>
      <c r="AP13" s="217">
        <f t="shared" si="79"/>
        <v>0</v>
      </c>
      <c r="AQ13" s="217">
        <f t="shared" si="80"/>
        <v>0</v>
      </c>
      <c r="AR13" s="264">
        <f t="shared" si="15"/>
        <v>0</v>
      </c>
      <c r="AS13" s="218"/>
      <c r="AT13" s="217">
        <f t="shared" si="81"/>
        <v>0</v>
      </c>
      <c r="AU13" s="217">
        <f t="shared" si="82"/>
        <v>0</v>
      </c>
      <c r="AV13" s="217">
        <f t="shared" si="83"/>
        <v>0</v>
      </c>
      <c r="AW13" s="264">
        <f t="shared" si="19"/>
        <v>0</v>
      </c>
      <c r="AX13" s="218"/>
      <c r="AY13" s="217">
        <f t="shared" si="84"/>
        <v>0</v>
      </c>
      <c r="AZ13" s="217">
        <f t="shared" si="85"/>
        <v>0</v>
      </c>
      <c r="BA13" s="217">
        <f t="shared" si="86"/>
        <v>0</v>
      </c>
      <c r="BB13" s="264">
        <f t="shared" si="23"/>
        <v>0</v>
      </c>
      <c r="BC13" s="218"/>
      <c r="BD13" s="217">
        <f t="shared" si="87"/>
        <v>0</v>
      </c>
      <c r="BE13" s="217">
        <f t="shared" si="88"/>
        <v>0</v>
      </c>
      <c r="BF13" s="217">
        <f t="shared" si="89"/>
        <v>0</v>
      </c>
      <c r="BG13" s="264">
        <f t="shared" si="27"/>
        <v>0</v>
      </c>
      <c r="BH13" s="218"/>
      <c r="BI13" s="217">
        <f t="shared" si="90"/>
        <v>0</v>
      </c>
      <c r="BJ13" s="217">
        <f t="shared" si="91"/>
        <v>0</v>
      </c>
      <c r="BK13" s="217">
        <f t="shared" si="92"/>
        <v>0</v>
      </c>
      <c r="BL13" s="264">
        <f t="shared" si="51"/>
        <v>0</v>
      </c>
      <c r="BM13" s="218"/>
      <c r="BN13" s="217">
        <f t="shared" si="93"/>
        <v>0</v>
      </c>
      <c r="BO13" s="217">
        <f t="shared" si="94"/>
        <v>0</v>
      </c>
      <c r="BP13" s="217">
        <f t="shared" si="95"/>
        <v>0</v>
      </c>
      <c r="BQ13" s="264">
        <f t="shared" si="52"/>
        <v>0</v>
      </c>
      <c r="BR13" s="218"/>
      <c r="BS13" s="217">
        <f t="shared" si="96"/>
        <v>0</v>
      </c>
      <c r="BT13" s="217">
        <f t="shared" si="97"/>
        <v>0</v>
      </c>
      <c r="BU13" s="217">
        <f t="shared" si="98"/>
        <v>0</v>
      </c>
      <c r="BV13" s="264">
        <f t="shared" si="53"/>
        <v>0</v>
      </c>
      <c r="BW13" s="218"/>
      <c r="BX13" s="217">
        <f t="shared" si="99"/>
        <v>0</v>
      </c>
      <c r="BY13" s="217">
        <f t="shared" si="100"/>
        <v>0</v>
      </c>
      <c r="BZ13" s="217">
        <f t="shared" si="101"/>
        <v>0</v>
      </c>
      <c r="CA13" s="264">
        <f t="shared" si="54"/>
        <v>0</v>
      </c>
      <c r="CB13" s="218"/>
      <c r="CC13" s="217">
        <f t="shared" si="102"/>
        <v>0</v>
      </c>
      <c r="CD13" s="217">
        <f t="shared" si="103"/>
        <v>0</v>
      </c>
      <c r="CE13" s="217">
        <f t="shared" si="104"/>
        <v>0</v>
      </c>
      <c r="CF13" s="264">
        <f t="shared" si="55"/>
        <v>0</v>
      </c>
      <c r="CG13" s="219"/>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row>
    <row r="14" spans="1:175" s="10" customFormat="1" ht="9.75" customHeight="1" x14ac:dyDescent="0.15">
      <c r="A14" s="237" t="s">
        <v>185</v>
      </c>
      <c r="B14" s="298">
        <v>5000000</v>
      </c>
      <c r="C14" s="299">
        <v>300000000</v>
      </c>
      <c r="D14" s="238">
        <f>SUM(E14/10)</f>
        <v>999900000</v>
      </c>
      <c r="E14" s="473">
        <f>SUM('Your Estimation'!B68*1000000)</f>
        <v>9999000000</v>
      </c>
      <c r="F14" s="240">
        <f>SUM(IF(((1-(Y18/(IF(ISBLANK(D14),B14,(IF(D14=0,9.99999999999999E+29,D14))))))*SUM(F9:F13))&lt;0,0,((1-(Y18/(IF(ISBLANK(D14),B14,(IF(D14=0,9.99999999999999E+29,D14))))))*SUM(F9:F13))))</f>
        <v>9.9999849984998505E-3</v>
      </c>
      <c r="G14" s="241">
        <f>SUM(IF(((1-(F18/(IF(ISBLANK(D14),B14,(IF(D14=0,9.99999999999999E+29,D14))))))*SUM(G9:G13))&lt;0,0,((1-(F18/(IF(ISBLANK(D14),B14,(IF(D14=0,9.99999999999999E+29,D14))))))*SUM(G9:G13))))</f>
        <v>0.11999974247125562</v>
      </c>
      <c r="H14" s="241">
        <f>SUM(IF(((1-(G18/(IF(ISBLANK(D14),B14,(IF(D14=0,9.99999999999999E+29,D14))))))*SUM(H9:H13))&lt;0,0,((1-(G18/(IF(ISBLANK(D14),B14,(IF(D14=0,9.99999999999999E+29,D14))))))*SUM(H9:H13))))</f>
        <v>0</v>
      </c>
      <c r="I14" s="241">
        <f>SUM(IF(((1-(H18/(IF(ISBLANK(D14),B14,(IF(D14=0,9.99999999999999E+29,D14))))))*SUM(I9:I13))&lt;0,0,((1-(H18/(IF(ISBLANK(D14),B14,(IF(D14=0,9.99999999999999E+29,D14))))))*SUM(I9:I13))))</f>
        <v>0</v>
      </c>
      <c r="J14" s="267">
        <f>SUM(((1+F14)*(1+F14)*(1+F14)*(1+G14)*(1+G14)*(1+G14)*(1+H14)*(1+H14)*(1+H14)*(1+I14)*(1+I14)*(1+I14))-1)</f>
        <v>0.44749766033146221</v>
      </c>
      <c r="K14" s="241">
        <f>SUM(IF(((1-(I18/(IF(ISBLANK(E14),C14,(IF(E14=0,9.99999999999999E+29,E14))))))*SUM(K9:K13))&lt;0,0,((1-(I18/(IF(ISBLANK(E14),C14,(IF(E14=0,9.99999999999999E+29,E14))))))*SUM(K9:K13))))</f>
        <v>0</v>
      </c>
      <c r="L14" s="241">
        <f>SUM(IF(((1-(K18/(IF(ISBLANK(E14),C14,(IF(E14=0,9.99999999999999E+29,E14))))))*SUM(L9:L13))&lt;0,0,((1-(K18/(IF(ISBLANK(E14),C14,(IF(E14=0,9.99999999999999E+29,E14))))))*SUM(L9:L13))))</f>
        <v>0</v>
      </c>
      <c r="M14" s="241">
        <f>SUM(IF(((1-(L18/(IF(ISBLANK(E14),C14,(IF(E14=0,9.99999999999999E+29,E14))))))*SUM(M9:M13))&lt;0,0,((1-(L18/(IF(ISBLANK(E14),C14,(IF(E14=0,9.99999999999999E+29,E14))))))*SUM(M9:M13))))</f>
        <v>0</v>
      </c>
      <c r="N14" s="241">
        <f>SUM(IF(((1-(M18/(IF(ISBLANK(E14),C14,(IF(E14=0,9.99999999999999E+29,E14))))))*SUM(N9:N13))&lt;0,0,((1-(M18/(IF(ISBLANK(E14),C14,(IF(E14=0,9.99999999999999E+29,E14))))))*SUM(N9:N13))))</f>
        <v>0</v>
      </c>
      <c r="O14" s="449">
        <f t="shared" si="63"/>
        <v>0</v>
      </c>
      <c r="P14" s="241">
        <f>SUM(IF(((1-(N18/(IF(ISBLANK(E14),C14,(IF(E14=0,9.99999999999999E+29,E14))))))*SUM(P9:P13))&lt;0,0,((1-(N18/(IF(ISBLANK(E14),C14,(IF(E14=0,9.99999999999999E+29,E14))))))*SUM(P9:P13))))</f>
        <v>0</v>
      </c>
      <c r="Q14" s="241">
        <f>SUM(IF(((1-(P18/(IF(ISBLANK(E14),C14,(IF(E14=0,9.99999999999999E+29,E14))))))*SUM(Q9:Q13))&lt;0,0,((1-(P18/(IF(ISBLANK(E14),C14,(IF(E14=0,9.99999999999999E+29,E14))))))*SUM(Q9:Q13))))</f>
        <v>0</v>
      </c>
      <c r="R14" s="241">
        <f>SUM(IF(((1-(Q18/(IF(ISBLANK(E14),C14,(IF(E14=0,9.99999999999999E+29,E14))))))*SUM(R9:R13))&lt;0,0,((1-(Q18/(IF(ISBLANK(E14),C14,(IF(E14=0,9.99999999999999E+29,E14))))))*SUM(R9:R13))))</f>
        <v>0</v>
      </c>
      <c r="S14" s="241">
        <f>SUM(IF(((1-(R18/(IF(ISBLANK(E14),C14,(IF(E14=0,9.99999999999999E+29,E14))))))*SUM(S9:S13))&lt;0,0,((1-(R18/(IF(ISBLANK(E14),C14,(IF(E14=0,9.99999999999999E+29,E14))))))*SUM(S9:S13))))</f>
        <v>0</v>
      </c>
      <c r="T14" s="268">
        <f t="shared" si="68"/>
        <v>0</v>
      </c>
      <c r="U14" s="266">
        <f>SUM(IF(((1-(T18/(IF(ISBLANK(E14),C14,(IF(E14=0,9.99999999999999E+29,E14))))))*SUM(U9:U13))&lt;0,0,((1-(T18/(IF(ISBLANK(E14),C14,(IF(E14=0,9.99999999999999E+29,E14))))))*SUM(U9:U13))))</f>
        <v>0</v>
      </c>
      <c r="V14" s="267">
        <f>SUM(IF(((1-(U18/(IF(ISBLANK(E14),C14,(IF(E14=0,9.99999999999999E+29,E14))))))*SUM(V9:V13))&lt;0,0,((1-(U18/(IF(ISBLANK(E14),C14,(IF(E14=0,9.99999999999999E+29,E14))))))*SUM(V9:V13))))</f>
        <v>0</v>
      </c>
      <c r="W14" s="268">
        <f>SUM(IF(((1-(V18/(IF(ISBLANK(E14),C14,(IF(E14=0,9.99999999999999E+29,E14))))))*SUM(W9:W13))&lt;0,0,((1-(V18/(IF(ISBLANK(E14),C14,(IF(E14=0,9.99999999999999E+29,E14))))))*SUM(W9:W13))))</f>
        <v>0</v>
      </c>
      <c r="X14" s="243"/>
      <c r="Y14" s="501">
        <v>0</v>
      </c>
      <c r="Z14" s="241">
        <f>F14</f>
        <v>9.9999849984998505E-3</v>
      </c>
      <c r="AA14" s="241">
        <f>F14</f>
        <v>9.9999849984998505E-3</v>
      </c>
      <c r="AB14" s="241">
        <f>F14</f>
        <v>9.9999849984998505E-3</v>
      </c>
      <c r="AC14" s="267">
        <f t="shared" si="9"/>
        <v>2.9999954995499553E-2</v>
      </c>
      <c r="AD14" s="242"/>
      <c r="AE14" s="241">
        <f>G14</f>
        <v>0.11999974247125562</v>
      </c>
      <c r="AF14" s="241">
        <f>G14</f>
        <v>0.11999974247125562</v>
      </c>
      <c r="AG14" s="241">
        <f>G14</f>
        <v>0.11999974247125562</v>
      </c>
      <c r="AH14" s="267">
        <f t="shared" si="10"/>
        <v>0.35999922741376689</v>
      </c>
      <c r="AI14" s="242"/>
      <c r="AJ14" s="241">
        <f>H14</f>
        <v>0</v>
      </c>
      <c r="AK14" s="241">
        <f>H14</f>
        <v>0</v>
      </c>
      <c r="AL14" s="241">
        <f>H14</f>
        <v>0</v>
      </c>
      <c r="AM14" s="267">
        <f t="shared" si="11"/>
        <v>0</v>
      </c>
      <c r="AN14" s="242"/>
      <c r="AO14" s="241">
        <f>I14</f>
        <v>0</v>
      </c>
      <c r="AP14" s="241">
        <f>I14</f>
        <v>0</v>
      </c>
      <c r="AQ14" s="241">
        <f>I14</f>
        <v>0</v>
      </c>
      <c r="AR14" s="267">
        <f t="shared" si="15"/>
        <v>0</v>
      </c>
      <c r="AS14" s="242"/>
      <c r="AT14" s="241">
        <f>K14</f>
        <v>0</v>
      </c>
      <c r="AU14" s="241">
        <f>K14</f>
        <v>0</v>
      </c>
      <c r="AV14" s="241">
        <f>K14</f>
        <v>0</v>
      </c>
      <c r="AW14" s="267">
        <f t="shared" si="19"/>
        <v>0</v>
      </c>
      <c r="AX14" s="242"/>
      <c r="AY14" s="241">
        <f>L14</f>
        <v>0</v>
      </c>
      <c r="AZ14" s="241">
        <f>L14</f>
        <v>0</v>
      </c>
      <c r="BA14" s="241">
        <f>L14</f>
        <v>0</v>
      </c>
      <c r="BB14" s="267">
        <f t="shared" si="23"/>
        <v>0</v>
      </c>
      <c r="BC14" s="242"/>
      <c r="BD14" s="241">
        <f>M14</f>
        <v>0</v>
      </c>
      <c r="BE14" s="241">
        <f>M14</f>
        <v>0</v>
      </c>
      <c r="BF14" s="241">
        <f>M14</f>
        <v>0</v>
      </c>
      <c r="BG14" s="267">
        <f t="shared" si="27"/>
        <v>0</v>
      </c>
      <c r="BH14" s="242"/>
      <c r="BI14" s="241">
        <f>N14</f>
        <v>0</v>
      </c>
      <c r="BJ14" s="241">
        <f>N14</f>
        <v>0</v>
      </c>
      <c r="BK14" s="241">
        <f>N14</f>
        <v>0</v>
      </c>
      <c r="BL14" s="267">
        <f t="shared" si="51"/>
        <v>0</v>
      </c>
      <c r="BM14" s="242"/>
      <c r="BN14" s="241">
        <f>P14</f>
        <v>0</v>
      </c>
      <c r="BO14" s="241">
        <f>P14</f>
        <v>0</v>
      </c>
      <c r="BP14" s="241">
        <f>P14</f>
        <v>0</v>
      </c>
      <c r="BQ14" s="267">
        <f t="shared" si="52"/>
        <v>0</v>
      </c>
      <c r="BR14" s="242"/>
      <c r="BS14" s="241">
        <f>Q14</f>
        <v>0</v>
      </c>
      <c r="BT14" s="241">
        <f>Q14</f>
        <v>0</v>
      </c>
      <c r="BU14" s="241">
        <f>Q14</f>
        <v>0</v>
      </c>
      <c r="BV14" s="267">
        <f t="shared" si="53"/>
        <v>0</v>
      </c>
      <c r="BW14" s="242"/>
      <c r="BX14" s="241">
        <f>R14</f>
        <v>0</v>
      </c>
      <c r="BY14" s="241">
        <f>R14</f>
        <v>0</v>
      </c>
      <c r="BZ14" s="241">
        <f>R14</f>
        <v>0</v>
      </c>
      <c r="CA14" s="267">
        <f t="shared" si="54"/>
        <v>0</v>
      </c>
      <c r="CB14" s="242"/>
      <c r="CC14" s="241">
        <f>S14</f>
        <v>0</v>
      </c>
      <c r="CD14" s="241">
        <f>S14</f>
        <v>0</v>
      </c>
      <c r="CE14" s="241">
        <f>S14</f>
        <v>0</v>
      </c>
      <c r="CF14" s="267">
        <f t="shared" si="55"/>
        <v>0</v>
      </c>
      <c r="CG14" s="314"/>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row>
    <row r="15" spans="1:175" s="10" customFormat="1" ht="9.75" customHeight="1" x14ac:dyDescent="0.15">
      <c r="A15" s="53" t="s">
        <v>186</v>
      </c>
      <c r="B15" s="260">
        <v>0.2</v>
      </c>
      <c r="C15" s="293">
        <v>-1.7999999999999999E-2</v>
      </c>
      <c r="D15" s="471">
        <f>SUM(('Your Estimation'!B18+1)^(1/12)-1)</f>
        <v>0</v>
      </c>
      <c r="E15" s="378">
        <v>0</v>
      </c>
      <c r="F15" s="223">
        <v>0.8</v>
      </c>
      <c r="G15" s="224">
        <v>0.5</v>
      </c>
      <c r="H15" s="225">
        <f>SUM(IF(     IF(ISBLANK(D15),B15,D15)   &gt;   0,   (     IF(ISBLANK(D15),B15,D15)   ),0))</f>
        <v>0</v>
      </c>
      <c r="I15" s="225">
        <f>SUM(IF(     IF(ISBLANK(D15),B15,D15)     +   (1* (IF(ISBLANK(E15),C15,E15))) &gt;   0,   (     IF(ISBLANK(D15),B15,D15)    +  (1* (IF(ISBLANK(E15),C15,E15)) )  ),0))</f>
        <v>0</v>
      </c>
      <c r="J15" s="439">
        <f>SUM(((1+F15)*(1+F15)*(1+F15)*(1+G15)*(1+G15)*(1+G15)*(1+H15)*(1+H15)*(1+H15)*(1+I15)*(1+I15)*(1+I15))-1)</f>
        <v>18.683000000000003</v>
      </c>
      <c r="K15" s="225">
        <f>SUM(IF(     IF(ISBLANK(D15),B15,D15)    +   (2* (IF(ISBLANK(E15),C15,E15))) &gt;   0,   (     IF(ISBLANK(D15),B15,D15)    +  (2* (IF(ISBLANK(E15),C15,E15)) )  ),0))</f>
        <v>0</v>
      </c>
      <c r="L15" s="225">
        <f>SUM(IF(     IF(ISBLANK(D15),B15,D15)    +   (3* (IF(ISBLANK(E15),C15,E15))) &gt;   0,   (     IF(ISBLANK(D15),B15,D15)    +  (3* (IF(ISBLANK(E15),C15,E15)) )  ),0))</f>
        <v>0</v>
      </c>
      <c r="M15" s="225">
        <f>SUM(IF(     IF(ISBLANK(D15),B15,D15)     +   (4* (IF(ISBLANK(E15),C15,E15))) &gt;   0,   (     IF(ISBLANK(D15),B15,D15)   +  (4* (IF(ISBLANK(E15),C15,E15)) )  ),0))</f>
        <v>0</v>
      </c>
      <c r="N15" s="225">
        <f>SUM(IF(     IF(ISBLANK(D15),B15,D15)     +  (5* (IF(ISBLANK(E15),C15,E15))) &gt;   0,   (     IF(ISBLANK(D15),B15,D15)   +  (5* (IF(ISBLANK(E15),C15,E15)) )  ),0))</f>
        <v>0</v>
      </c>
      <c r="O15" s="439">
        <f t="shared" si="63"/>
        <v>0</v>
      </c>
      <c r="P15" s="225">
        <f>SUM(IF(     IF(ISBLANK(D15),B15,D15)     +   (6* (IF(ISBLANK(E15),C15,E15))) &gt;   0,   (     IF(ISBLANK(D15),B15,D15)    +  (6* (IF(ISBLANK(E15),C15,E15)) )  ),0))</f>
        <v>0</v>
      </c>
      <c r="Q15" s="225">
        <f>SUM(IF(     IF(ISBLANK(D15),B15,D15)     +   (7* (IF(ISBLANK(E15),C15,E15))) &gt;   0,   (     IF(ISBLANK(D15),B15,D15)    +  (7* (IF(ISBLANK(E15),C15,E15)) )  ),0))</f>
        <v>0</v>
      </c>
      <c r="R15" s="225">
        <f>SUM(IF(     IF(ISBLANK(D15),B15,D15)     +   (8* (IF(ISBLANK(E15),C15,E15))) &gt;   0,   (     IF(ISBLANK(D15),B15,D15)    +  (8* (IF(ISBLANK(E15),C15,E15)) )  ),0))</f>
        <v>0</v>
      </c>
      <c r="S15" s="225">
        <f>SUM(IF(     IF(ISBLANK(D15),B15,D15)     +   (9* (IF(ISBLANK(E15),C15,E15))) &gt;   0,   (     IF(ISBLANK(D15),B15,D15)   +  (9* (IF(ISBLANK(E15),C15,E15)) )  ),0))</f>
        <v>0</v>
      </c>
      <c r="T15" s="450">
        <f t="shared" si="68"/>
        <v>0</v>
      </c>
      <c r="U15" s="270">
        <f>SUM(('Your Estimation'!B18))</f>
        <v>0</v>
      </c>
      <c r="V15" s="271">
        <f>SUM(('Your Estimation'!B18))</f>
        <v>0</v>
      </c>
      <c r="W15" s="272">
        <f>SUM(('Your Estimation'!B18))</f>
        <v>0</v>
      </c>
      <c r="X15" s="226"/>
      <c r="Y15" s="502">
        <v>0.7</v>
      </c>
      <c r="Z15" s="225">
        <f>F15</f>
        <v>0.8</v>
      </c>
      <c r="AA15" s="225">
        <f>F15</f>
        <v>0.8</v>
      </c>
      <c r="AB15" s="225">
        <f>F15</f>
        <v>0.8</v>
      </c>
      <c r="AC15" s="271">
        <f t="shared" si="9"/>
        <v>2.4000000000000004</v>
      </c>
      <c r="AD15" s="221"/>
      <c r="AE15" s="225">
        <f>G15</f>
        <v>0.5</v>
      </c>
      <c r="AF15" s="225">
        <f>G15</f>
        <v>0.5</v>
      </c>
      <c r="AG15" s="225">
        <f>G15</f>
        <v>0.5</v>
      </c>
      <c r="AH15" s="271">
        <f t="shared" si="10"/>
        <v>1.5</v>
      </c>
      <c r="AI15" s="221"/>
      <c r="AJ15" s="225">
        <f>H15</f>
        <v>0</v>
      </c>
      <c r="AK15" s="225">
        <f>H15</f>
        <v>0</v>
      </c>
      <c r="AL15" s="225">
        <f>H15</f>
        <v>0</v>
      </c>
      <c r="AM15" s="271">
        <f t="shared" si="11"/>
        <v>0</v>
      </c>
      <c r="AN15" s="221"/>
      <c r="AO15" s="225">
        <f>I15</f>
        <v>0</v>
      </c>
      <c r="AP15" s="225">
        <f>I15</f>
        <v>0</v>
      </c>
      <c r="AQ15" s="225">
        <f>I15</f>
        <v>0</v>
      </c>
      <c r="AR15" s="271">
        <f t="shared" si="15"/>
        <v>0</v>
      </c>
      <c r="AS15" s="221"/>
      <c r="AT15" s="225">
        <f>K15</f>
        <v>0</v>
      </c>
      <c r="AU15" s="225">
        <f>K15</f>
        <v>0</v>
      </c>
      <c r="AV15" s="225">
        <f>K15</f>
        <v>0</v>
      </c>
      <c r="AW15" s="271">
        <f t="shared" si="19"/>
        <v>0</v>
      </c>
      <c r="AX15" s="221"/>
      <c r="AY15" s="225">
        <f>L15</f>
        <v>0</v>
      </c>
      <c r="AZ15" s="225">
        <f>L15</f>
        <v>0</v>
      </c>
      <c r="BA15" s="225">
        <f>L15</f>
        <v>0</v>
      </c>
      <c r="BB15" s="271">
        <f t="shared" si="23"/>
        <v>0</v>
      </c>
      <c r="BC15" s="221"/>
      <c r="BD15" s="225">
        <f>M15</f>
        <v>0</v>
      </c>
      <c r="BE15" s="225">
        <f>M15</f>
        <v>0</v>
      </c>
      <c r="BF15" s="225">
        <f>M15</f>
        <v>0</v>
      </c>
      <c r="BG15" s="271">
        <f t="shared" si="27"/>
        <v>0</v>
      </c>
      <c r="BH15" s="221"/>
      <c r="BI15" s="225">
        <f>N15</f>
        <v>0</v>
      </c>
      <c r="BJ15" s="225">
        <f>N15</f>
        <v>0</v>
      </c>
      <c r="BK15" s="225">
        <f>N15</f>
        <v>0</v>
      </c>
      <c r="BL15" s="271">
        <f t="shared" si="51"/>
        <v>0</v>
      </c>
      <c r="BM15" s="221"/>
      <c r="BN15" s="225">
        <f>P15</f>
        <v>0</v>
      </c>
      <c r="BO15" s="225">
        <f>P15</f>
        <v>0</v>
      </c>
      <c r="BP15" s="225">
        <f>P15</f>
        <v>0</v>
      </c>
      <c r="BQ15" s="271">
        <f t="shared" si="52"/>
        <v>0</v>
      </c>
      <c r="BR15" s="221"/>
      <c r="BS15" s="225">
        <f>Q15</f>
        <v>0</v>
      </c>
      <c r="BT15" s="225">
        <f>Q15</f>
        <v>0</v>
      </c>
      <c r="BU15" s="225">
        <f>Q15</f>
        <v>0</v>
      </c>
      <c r="BV15" s="271">
        <f t="shared" si="53"/>
        <v>0</v>
      </c>
      <c r="BW15" s="221"/>
      <c r="BX15" s="225">
        <f>R15</f>
        <v>0</v>
      </c>
      <c r="BY15" s="225">
        <f>R15</f>
        <v>0</v>
      </c>
      <c r="BZ15" s="225">
        <f>R15</f>
        <v>0</v>
      </c>
      <c r="CA15" s="271">
        <f t="shared" si="54"/>
        <v>0</v>
      </c>
      <c r="CB15" s="221"/>
      <c r="CC15" s="225">
        <f>S15</f>
        <v>0</v>
      </c>
      <c r="CD15" s="225">
        <f>S15</f>
        <v>0</v>
      </c>
      <c r="CE15" s="225">
        <f>S15</f>
        <v>0</v>
      </c>
      <c r="CF15" s="271">
        <f t="shared" si="55"/>
        <v>0</v>
      </c>
      <c r="CG15" s="222"/>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row>
    <row r="16" spans="1:175" s="11" customFormat="1" ht="9.75" customHeight="1" x14ac:dyDescent="0.15">
      <c r="A16" s="193" t="s">
        <v>187</v>
      </c>
      <c r="B16" s="317"/>
      <c r="C16" s="318"/>
      <c r="D16" s="300"/>
      <c r="E16" s="301"/>
      <c r="F16" s="451">
        <f>SUM((F18/Y18)-1)/3</f>
        <v>0.14352405834101298</v>
      </c>
      <c r="G16" s="451">
        <f>SUM((G18/F18)-1)/3</f>
        <v>0.46223431741234339</v>
      </c>
      <c r="H16" s="451">
        <f>SUM((H18/G18)-1)/3</f>
        <v>0.75931837108963707</v>
      </c>
      <c r="I16" s="451">
        <f>SUM((I18/H18)-1)/3</f>
        <v>0.19854961451399666</v>
      </c>
      <c r="J16" s="457" t="s">
        <v>50</v>
      </c>
      <c r="K16" s="452">
        <f>SUM((K18/I18)-1)/3</f>
        <v>8.2955769392557402E-2</v>
      </c>
      <c r="L16" s="452">
        <f>SUM((L18/K18)-1)/3</f>
        <v>4.9818571720938731E-2</v>
      </c>
      <c r="M16" s="452">
        <f>SUM((M18/L18)-1)/3</f>
        <v>0</v>
      </c>
      <c r="N16" s="452">
        <f>SUM((N18/M18)-1)/3</f>
        <v>0</v>
      </c>
      <c r="O16" s="453">
        <f>SUM(O18/J18)-1</f>
        <v>0.43551766486482735</v>
      </c>
      <c r="P16" s="452">
        <f>SUM((P18/N18)-1)/3</f>
        <v>0</v>
      </c>
      <c r="Q16" s="452">
        <f>SUM((Q18/P18)-1)/3</f>
        <v>0</v>
      </c>
      <c r="R16" s="452">
        <f>SUM((R18/Q18)-1)/3</f>
        <v>0</v>
      </c>
      <c r="S16" s="452">
        <f>SUM((S18/R18)-1)/3</f>
        <v>0</v>
      </c>
      <c r="T16" s="454">
        <f>SUM(T18/O18)-1</f>
        <v>0</v>
      </c>
      <c r="U16" s="455">
        <f>SUM(U18/T18)-1</f>
        <v>0</v>
      </c>
      <c r="V16" s="453">
        <f>SUM(V18/U18)-1</f>
        <v>0</v>
      </c>
      <c r="W16" s="456">
        <f>SUM(W18/V18)-1</f>
        <v>0</v>
      </c>
      <c r="X16" s="190"/>
      <c r="Y16" s="503">
        <v>0</v>
      </c>
      <c r="Z16" s="452">
        <f>SUM((Z18/Y18)-1)</f>
        <v>0.34333161816181623</v>
      </c>
      <c r="AA16" s="452">
        <f t="shared" ref="AA16:AB16" si="105">SUM((AA18/Z18)-1)</f>
        <v>5.3672253141894943E-2</v>
      </c>
      <c r="AB16" s="452">
        <f t="shared" si="105"/>
        <v>1.0697038211858079E-2</v>
      </c>
      <c r="AC16" s="453">
        <f t="shared" si="9"/>
        <v>0.40770090951556925</v>
      </c>
      <c r="AD16" s="458"/>
      <c r="AE16" s="452">
        <f>SUM((AE18/AB18)-1)</f>
        <v>0.69182965043348199</v>
      </c>
      <c r="AF16" s="452">
        <f>SUM((AF18/AE18)-1)</f>
        <v>0.25353273894498529</v>
      </c>
      <c r="AG16" s="452">
        <f>SUM((AG18/AF18)-1)</f>
        <v>0.12539778816325109</v>
      </c>
      <c r="AH16" s="453">
        <f t="shared" si="10"/>
        <v>1.0707601775417184</v>
      </c>
      <c r="AI16" s="458"/>
      <c r="AJ16" s="452">
        <f>SUM((AJ18/AG18)-1)</f>
        <v>0.75931837108963718</v>
      </c>
      <c r="AK16" s="452">
        <f>SUM((AK18/AJ18)-1)</f>
        <v>0.43159804590646766</v>
      </c>
      <c r="AL16" s="452">
        <f>SUM((AL18/AK18)-1)</f>
        <v>0.3014799071153984</v>
      </c>
      <c r="AM16" s="453">
        <f t="shared" si="11"/>
        <v>1.4923963241115032</v>
      </c>
      <c r="AN16" s="458"/>
      <c r="AO16" s="452">
        <f>SUM((AO18/AL18)-1)</f>
        <v>0.19854961451399666</v>
      </c>
      <c r="AP16" s="452">
        <f>SUM((AP18/AO18)-1)</f>
        <v>0.16565823567888516</v>
      </c>
      <c r="AQ16" s="452">
        <f>SUM((AQ18/AP18)-1)</f>
        <v>0.14211561382947302</v>
      </c>
      <c r="AR16" s="453">
        <f t="shared" si="15"/>
        <v>0.50632346402235484</v>
      </c>
      <c r="AS16" s="458"/>
      <c r="AT16" s="452">
        <f>SUM((AT18/AQ18)-1)</f>
        <v>8.2955769392557333E-2</v>
      </c>
      <c r="AU16" s="452">
        <f>SUM((AU18/AT18)-1)</f>
        <v>7.6601253474173125E-2</v>
      </c>
      <c r="AV16" s="452">
        <f>SUM((AV18/AU18)-1)</f>
        <v>7.1150997852716946E-2</v>
      </c>
      <c r="AW16" s="453">
        <f t="shared" si="19"/>
        <v>0.2307080207194474</v>
      </c>
      <c r="AX16" s="458"/>
      <c r="AY16" s="452">
        <f>SUM((AY18/AV18)-1)</f>
        <v>4.9818571720938731E-2</v>
      </c>
      <c r="AZ16" s="452">
        <f>SUM((AZ18/AY18)-1)</f>
        <v>4.7454458382530262E-2</v>
      </c>
      <c r="BA16" s="452">
        <f>SUM((BA18/AZ18)-1)</f>
        <v>4.5304555250840206E-2</v>
      </c>
      <c r="BB16" s="453">
        <f t="shared" si="23"/>
        <v>0.1425775853543092</v>
      </c>
      <c r="BC16" s="458"/>
      <c r="BD16" s="452">
        <f>SUM((BD18/BA18)-1)</f>
        <v>0</v>
      </c>
      <c r="BE16" s="452">
        <f>SUM((BE18/BD18)-1)</f>
        <v>0</v>
      </c>
      <c r="BF16" s="452">
        <f>SUM((BF18/BE18)-1)</f>
        <v>0</v>
      </c>
      <c r="BG16" s="453">
        <f t="shared" si="27"/>
        <v>0</v>
      </c>
      <c r="BH16" s="458"/>
      <c r="BI16" s="452">
        <f>SUM((BI18/BF18)-1)</f>
        <v>0</v>
      </c>
      <c r="BJ16" s="452">
        <f>SUM((BJ18/BI18)-1)</f>
        <v>0</v>
      </c>
      <c r="BK16" s="452">
        <f>SUM((BK18/BJ18)-1)</f>
        <v>0</v>
      </c>
      <c r="BL16" s="453">
        <f>SUM(BI16:BK16)</f>
        <v>0</v>
      </c>
      <c r="BM16" s="458"/>
      <c r="BN16" s="452">
        <f>SUM((BN18/BK18)-1)</f>
        <v>0</v>
      </c>
      <c r="BO16" s="452">
        <f>SUM((BO18/BN18)-1)</f>
        <v>0</v>
      </c>
      <c r="BP16" s="452">
        <f>SUM((BP18/BO18)-1)</f>
        <v>0</v>
      </c>
      <c r="BQ16" s="453">
        <f>SUM(BN16:BP16)</f>
        <v>0</v>
      </c>
      <c r="BR16" s="458"/>
      <c r="BS16" s="452">
        <f>SUM((BS18/BP18)-1)</f>
        <v>0</v>
      </c>
      <c r="BT16" s="452">
        <f>SUM((BT18/BS18)-1)</f>
        <v>0</v>
      </c>
      <c r="BU16" s="452">
        <f>SUM((BU18/BT18)-1)</f>
        <v>0</v>
      </c>
      <c r="BV16" s="453">
        <f>SUM(BS16:BU16)</f>
        <v>0</v>
      </c>
      <c r="BW16" s="458"/>
      <c r="BX16" s="452">
        <f>SUM((BX18/BU18)-1)</f>
        <v>0</v>
      </c>
      <c r="BY16" s="452">
        <f>SUM((BY18/BX18)-1)</f>
        <v>0</v>
      </c>
      <c r="BZ16" s="452">
        <f>SUM((BZ18/BY18)-1)</f>
        <v>0</v>
      </c>
      <c r="CA16" s="453">
        <f t="shared" si="54"/>
        <v>0</v>
      </c>
      <c r="CB16" s="458"/>
      <c r="CC16" s="452">
        <f>SUM((CC18/BZ18)-1)</f>
        <v>0</v>
      </c>
      <c r="CD16" s="452">
        <f>SUM((CD18/CC18)-1)</f>
        <v>0</v>
      </c>
      <c r="CE16" s="452">
        <f>SUM((CE18/CD18)-1)</f>
        <v>0</v>
      </c>
      <c r="CF16" s="453">
        <f t="shared" si="55"/>
        <v>0</v>
      </c>
      <c r="CG16" s="113"/>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row>
    <row r="17" spans="1:175" s="11" customFormat="1" ht="9.75" customHeight="1" x14ac:dyDescent="0.15">
      <c r="A17" s="54" t="s">
        <v>188</v>
      </c>
      <c r="B17" s="319"/>
      <c r="C17" s="320"/>
      <c r="D17" s="204"/>
      <c r="E17" s="205"/>
      <c r="F17" s="99">
        <f>AC17</f>
        <v>645.85826253455821</v>
      </c>
      <c r="G17" s="36">
        <f>AH17</f>
        <v>2975.6679877388965</v>
      </c>
      <c r="H17" s="36">
        <f>AM17</f>
        <v>11666.606909551367</v>
      </c>
      <c r="I17" s="36">
        <f>AR17</f>
        <v>9999.83210187859</v>
      </c>
      <c r="J17" s="191">
        <f>SUM(J18-Y18)</f>
        <v>25287.965261703415</v>
      </c>
      <c r="K17" s="36">
        <f>AW17</f>
        <v>6666.6488062371172</v>
      </c>
      <c r="L17" s="36">
        <f>BB17</f>
        <v>4999.9832710200681</v>
      </c>
      <c r="M17" s="36">
        <f>BG17</f>
        <v>0</v>
      </c>
      <c r="N17" s="36">
        <f>BL17</f>
        <v>0</v>
      </c>
      <c r="O17" s="191">
        <f>SUM(O18-J18)</f>
        <v>11666.632077257185</v>
      </c>
      <c r="P17" s="36">
        <f>BQ17</f>
        <v>0</v>
      </c>
      <c r="Q17" s="36">
        <f>BV17</f>
        <v>0</v>
      </c>
      <c r="R17" s="36">
        <f>CA17</f>
        <v>0</v>
      </c>
      <c r="S17" s="36">
        <f>CF17</f>
        <v>0</v>
      </c>
      <c r="T17" s="192">
        <f>SUM(T18-O18)</f>
        <v>0</v>
      </c>
      <c r="U17" s="197">
        <f>SUM((U8+(T18*U14))-(T18*U15))</f>
        <v>0</v>
      </c>
      <c r="V17" s="191">
        <f>SUM((V8+(U18*V14))-(U18*V15))</f>
        <v>0</v>
      </c>
      <c r="W17" s="198">
        <f>SUM((W8+(V18*W14))-(V18*W15))</f>
        <v>0</v>
      </c>
      <c r="X17" s="175"/>
      <c r="Y17" s="507">
        <v>1500</v>
      </c>
      <c r="Z17" s="36">
        <f>SUM((Z8+(Y18*Z14))-(Y18*Z15))</f>
        <v>514.99742724272437</v>
      </c>
      <c r="AA17" s="36">
        <f>SUM((AA8+(Z18*AA14))-(Z18*AA15))</f>
        <v>108.14945199523822</v>
      </c>
      <c r="AB17" s="36">
        <f>SUM((AB8+(AA18*AB14))-(AA18*AB15))</f>
        <v>22.711383296595614</v>
      </c>
      <c r="AC17" s="191">
        <f t="shared" si="9"/>
        <v>645.85826253455821</v>
      </c>
      <c r="AD17" s="191"/>
      <c r="AE17" s="36">
        <f>SUM((AE8+(AB18*AE14))-(AB18*AE15))</f>
        <v>1484.5683716490828</v>
      </c>
      <c r="AF17" s="36">
        <f>SUM((AF8+(AE18*AF14))-(AE18*AF15))</f>
        <v>920.43200810340295</v>
      </c>
      <c r="AG17" s="36">
        <f>SUM((AG8+(AF18*AG14))-(AF18*AG15))</f>
        <v>570.66760798641053</v>
      </c>
      <c r="AH17" s="191">
        <f t="shared" si="10"/>
        <v>2975.6679877388965</v>
      </c>
      <c r="AI17" s="191"/>
      <c r="AJ17" s="36">
        <f>SUM((AJ8+(AG18*AJ14))-(AG18*AJ15))</f>
        <v>3888.8689698504559</v>
      </c>
      <c r="AK17" s="36">
        <f>SUM((AK8+(AJ18*AK14))-(AJ18*AK15))</f>
        <v>3888.8689698504559</v>
      </c>
      <c r="AL17" s="36">
        <f>SUM((AL8+(AK18*AL14))-(AK18*AL15))</f>
        <v>3888.8689698504559</v>
      </c>
      <c r="AM17" s="191">
        <f t="shared" si="11"/>
        <v>11666.606909551367</v>
      </c>
      <c r="AN17" s="191"/>
      <c r="AO17" s="36">
        <f>SUM((AO8+(AL18*AO14))-(AL18*AO15))</f>
        <v>3333.2773672928633</v>
      </c>
      <c r="AP17" s="36">
        <f>SUM((AP8+(AO18*AP14))-(AO18*AP15))</f>
        <v>3333.2773672928633</v>
      </c>
      <c r="AQ17" s="36">
        <f>SUM((AQ8+(AP18*AQ14))-(AP18*AQ15))</f>
        <v>3333.2773672928633</v>
      </c>
      <c r="AR17" s="191">
        <f t="shared" si="15"/>
        <v>9999.83210187859</v>
      </c>
      <c r="AS17" s="191"/>
      <c r="AT17" s="36">
        <f>SUM((AT8+(AQ18*AT14))-(AQ18*AT15))</f>
        <v>2222.2162687457057</v>
      </c>
      <c r="AU17" s="36">
        <f>SUM((AU8+(AT18*AU14))-(AT18*AU15))</f>
        <v>2222.2162687457057</v>
      </c>
      <c r="AV17" s="36">
        <f>SUM((AV8+(AU18*AV14))-(AU18*AV15))</f>
        <v>2222.2162687457057</v>
      </c>
      <c r="AW17" s="191">
        <f t="shared" si="19"/>
        <v>6666.6488062371172</v>
      </c>
      <c r="AX17" s="191"/>
      <c r="AY17" s="36">
        <f>SUM((AY8+(AV18*AY14))-(AV18*AY15))</f>
        <v>1666.6610903400228</v>
      </c>
      <c r="AZ17" s="36">
        <f>SUM((AZ8+(AY18*AZ14))-(AY18*AZ15))</f>
        <v>1666.6610903400228</v>
      </c>
      <c r="BA17" s="36">
        <f>SUM((BA8+(AZ18*BA14))-(AZ18*BA15))</f>
        <v>1666.6610903400228</v>
      </c>
      <c r="BB17" s="191">
        <f t="shared" si="23"/>
        <v>4999.9832710200681</v>
      </c>
      <c r="BC17" s="191"/>
      <c r="BD17" s="36">
        <f>SUM((BD8+(BA18*BD14))-(BA18*BD15))</f>
        <v>0</v>
      </c>
      <c r="BE17" s="36">
        <f>SUM((BE8+(BD18*BE14))-(BD18*BE15))</f>
        <v>0</v>
      </c>
      <c r="BF17" s="36">
        <f>SUM((BF8+(BE18*BF14))-(BE18*BF15))</f>
        <v>0</v>
      </c>
      <c r="BG17" s="191">
        <f t="shared" si="27"/>
        <v>0</v>
      </c>
      <c r="BH17" s="191"/>
      <c r="BI17" s="36">
        <f>SUM((BI8+(BF18*BI14))-(BF18*BI15))</f>
        <v>0</v>
      </c>
      <c r="BJ17" s="36">
        <f>SUM((BJ8+(BI18*BJ14))-(BI18*BJ15))</f>
        <v>0</v>
      </c>
      <c r="BK17" s="36">
        <f>SUM((BK8+(BJ18*BK14))-(BJ18*BK15))</f>
        <v>0</v>
      </c>
      <c r="BL17" s="191">
        <f>SUM(BI17:BK17)</f>
        <v>0</v>
      </c>
      <c r="BM17" s="191"/>
      <c r="BN17" s="36">
        <f>SUM((BN8+(BK18*BN14))-(BK18*BN15))</f>
        <v>0</v>
      </c>
      <c r="BO17" s="36">
        <f>SUM((BO8+(BN18*BO14))-(BN18*BO15))</f>
        <v>0</v>
      </c>
      <c r="BP17" s="36">
        <f>SUM((BP8+(BO18*BP14))-(BO18*BP15))</f>
        <v>0</v>
      </c>
      <c r="BQ17" s="191">
        <f>SUM(BN17:BP17)</f>
        <v>0</v>
      </c>
      <c r="BR17" s="191"/>
      <c r="BS17" s="36">
        <f>SUM((BS8+(BP18*BS14))-(BP18*BS15))</f>
        <v>0</v>
      </c>
      <c r="BT17" s="36">
        <f>SUM((BT8+(BS18*BT14))-(BS18*BT15))</f>
        <v>0</v>
      </c>
      <c r="BU17" s="36">
        <f>SUM((BU8+(BT18*BU14))-(BT18*BU15))</f>
        <v>0</v>
      </c>
      <c r="BV17" s="191">
        <f>SUM(BS17:BU17)</f>
        <v>0</v>
      </c>
      <c r="BW17" s="191"/>
      <c r="BX17" s="36">
        <f>SUM((BX8+(BU18*BX14))-(BU18*BX15))</f>
        <v>0</v>
      </c>
      <c r="BY17" s="36">
        <f>SUM((BY8+(BX18*BY14))-(BX18*BY15))</f>
        <v>0</v>
      </c>
      <c r="BZ17" s="36">
        <f>SUM((BZ8+(BY18*BZ14))-(BY18*BZ15))</f>
        <v>0</v>
      </c>
      <c r="CA17" s="191">
        <f>SUM(BX17:BZ17)</f>
        <v>0</v>
      </c>
      <c r="CB17" s="191"/>
      <c r="CC17" s="36">
        <f>SUM((CC8+(BZ18*CC14))-(BZ18*CC15))</f>
        <v>0</v>
      </c>
      <c r="CD17" s="36">
        <f>SUM((CD8+(CC18*CD14))-(CC18*CD15))</f>
        <v>0</v>
      </c>
      <c r="CE17" s="36">
        <f>SUM((CE8+(CD18*CE14))-(CD18*CE15))</f>
        <v>0</v>
      </c>
      <c r="CF17" s="191">
        <f>SUM(CC17:CE17)</f>
        <v>0</v>
      </c>
      <c r="CG17" s="198"/>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row>
    <row r="18" spans="1:175" s="9" customFormat="1" ht="9.75" customHeight="1" x14ac:dyDescent="0.15">
      <c r="A18" s="52" t="s">
        <v>189</v>
      </c>
      <c r="B18" s="321"/>
      <c r="C18" s="322"/>
      <c r="D18" s="202"/>
      <c r="E18" s="203"/>
      <c r="F18" s="99">
        <f>AC18</f>
        <v>2145.8582625345584</v>
      </c>
      <c r="G18" s="36">
        <f>AH18</f>
        <v>5121.5262502734549</v>
      </c>
      <c r="H18" s="36">
        <f>AM18</f>
        <v>16788.133159824825</v>
      </c>
      <c r="I18" s="36">
        <f>AR18</f>
        <v>26787.965261703415</v>
      </c>
      <c r="J18" s="191">
        <f>AQ18</f>
        <v>26787.965261703415</v>
      </c>
      <c r="K18" s="36">
        <f>AW18</f>
        <v>33454.614067940536</v>
      </c>
      <c r="L18" s="36">
        <f>BB18</f>
        <v>38454.597338960601</v>
      </c>
      <c r="M18" s="36">
        <f>BG18</f>
        <v>38454.597338960601</v>
      </c>
      <c r="N18" s="36">
        <f>BL18</f>
        <v>38454.597338960601</v>
      </c>
      <c r="O18" s="191">
        <f>BK18</f>
        <v>38454.597338960601</v>
      </c>
      <c r="P18" s="36">
        <f>BQ18</f>
        <v>38454.597338960601</v>
      </c>
      <c r="Q18" s="36">
        <f>BV18</f>
        <v>38454.597338960601</v>
      </c>
      <c r="R18" s="36">
        <f>CA18</f>
        <v>38454.597338960601</v>
      </c>
      <c r="S18" s="36">
        <f>CF18</f>
        <v>38454.597338960601</v>
      </c>
      <c r="T18" s="192">
        <f>CE18</f>
        <v>38454.597338960601</v>
      </c>
      <c r="U18" s="197">
        <f>SUM(T18+U17)</f>
        <v>38454.597338960601</v>
      </c>
      <c r="V18" s="191">
        <f>SUM(U18+V17)</f>
        <v>38454.597338960601</v>
      </c>
      <c r="W18" s="198">
        <f>SUM(V18+W17)</f>
        <v>38454.597338960601</v>
      </c>
      <c r="X18" s="175"/>
      <c r="Y18" s="508">
        <v>1500</v>
      </c>
      <c r="Z18" s="36">
        <f>SUM(Y18+Z17)</f>
        <v>2014.9974272427244</v>
      </c>
      <c r="AA18" s="36">
        <f>SUM(Z18+AA17)</f>
        <v>2123.1468792379628</v>
      </c>
      <c r="AB18" s="36">
        <f>SUM(AA18+AB17)</f>
        <v>2145.8582625345584</v>
      </c>
      <c r="AC18" s="191">
        <f>AB18</f>
        <v>2145.8582625345584</v>
      </c>
      <c r="AD18" s="191"/>
      <c r="AE18" s="36">
        <f>SUM(AB18+AE17)</f>
        <v>3630.426634183641</v>
      </c>
      <c r="AF18" s="36">
        <f>SUM(AE18+AF17)</f>
        <v>4550.8586422870439</v>
      </c>
      <c r="AG18" s="36">
        <f>SUM(AF18+AG17)</f>
        <v>5121.5262502734549</v>
      </c>
      <c r="AH18" s="191">
        <f>AG18</f>
        <v>5121.5262502734549</v>
      </c>
      <c r="AI18" s="191"/>
      <c r="AJ18" s="36">
        <f>SUM(AG18+AJ17)</f>
        <v>9010.3952201239117</v>
      </c>
      <c r="AK18" s="36">
        <f>SUM(AJ18+AK17)</f>
        <v>12899.264189974368</v>
      </c>
      <c r="AL18" s="36">
        <f>SUM(AK18+AL17)</f>
        <v>16788.133159824825</v>
      </c>
      <c r="AM18" s="191">
        <f>AL18</f>
        <v>16788.133159824825</v>
      </c>
      <c r="AN18" s="191"/>
      <c r="AO18" s="36">
        <f>SUM(AL18+AO17)</f>
        <v>20121.410527117689</v>
      </c>
      <c r="AP18" s="36">
        <f>SUM(AO18+AP17)</f>
        <v>23454.687894410552</v>
      </c>
      <c r="AQ18" s="36">
        <f>SUM(AP18+AQ17)</f>
        <v>26787.965261703415</v>
      </c>
      <c r="AR18" s="191">
        <f>AQ18</f>
        <v>26787.965261703415</v>
      </c>
      <c r="AS18" s="191"/>
      <c r="AT18" s="36">
        <f>SUM(AQ18+AT17)</f>
        <v>29010.181530449121</v>
      </c>
      <c r="AU18" s="36">
        <f>SUM(AT18+AU17)</f>
        <v>31232.397799194827</v>
      </c>
      <c r="AV18" s="36">
        <f>SUM(AU18+AV17)</f>
        <v>33454.614067940536</v>
      </c>
      <c r="AW18" s="191">
        <f>AV18</f>
        <v>33454.614067940536</v>
      </c>
      <c r="AX18" s="191"/>
      <c r="AY18" s="36">
        <f>SUM(AV18+AY17)</f>
        <v>35121.275158280558</v>
      </c>
      <c r="AZ18" s="36">
        <f>SUM(AY18+AZ17)</f>
        <v>36787.936248620579</v>
      </c>
      <c r="BA18" s="36">
        <f>SUM(AZ18+BA17)</f>
        <v>38454.597338960601</v>
      </c>
      <c r="BB18" s="191">
        <f>BA18</f>
        <v>38454.597338960601</v>
      </c>
      <c r="BC18" s="191"/>
      <c r="BD18" s="36">
        <f>SUM(BA18+BD17)</f>
        <v>38454.597338960601</v>
      </c>
      <c r="BE18" s="36">
        <f>SUM(BD18+BE17)</f>
        <v>38454.597338960601</v>
      </c>
      <c r="BF18" s="36">
        <f>SUM(BE18+BF17)</f>
        <v>38454.597338960601</v>
      </c>
      <c r="BG18" s="191">
        <f>BF18</f>
        <v>38454.597338960601</v>
      </c>
      <c r="BH18" s="191"/>
      <c r="BI18" s="36">
        <f>SUM(BF18+BI17)</f>
        <v>38454.597338960601</v>
      </c>
      <c r="BJ18" s="36">
        <f>SUM(BI18+BJ17)</f>
        <v>38454.597338960601</v>
      </c>
      <c r="BK18" s="36">
        <f>SUM(BJ18+BK17)</f>
        <v>38454.597338960601</v>
      </c>
      <c r="BL18" s="191">
        <f>BK18</f>
        <v>38454.597338960601</v>
      </c>
      <c r="BM18" s="191"/>
      <c r="BN18" s="36">
        <f>SUM(BL18+BN17)</f>
        <v>38454.597338960601</v>
      </c>
      <c r="BO18" s="36">
        <f>SUM(BN18+BO17)</f>
        <v>38454.597338960601</v>
      </c>
      <c r="BP18" s="36">
        <f>SUM(BO18+BP17)</f>
        <v>38454.597338960601</v>
      </c>
      <c r="BQ18" s="191">
        <f>BP18</f>
        <v>38454.597338960601</v>
      </c>
      <c r="BR18" s="191"/>
      <c r="BS18" s="36">
        <f>SUM(BP18+BS17)</f>
        <v>38454.597338960601</v>
      </c>
      <c r="BT18" s="36">
        <f>SUM(BS18+BT17)</f>
        <v>38454.597338960601</v>
      </c>
      <c r="BU18" s="36">
        <f>SUM(BT18+BU17)</f>
        <v>38454.597338960601</v>
      </c>
      <c r="BV18" s="191">
        <f>BU18</f>
        <v>38454.597338960601</v>
      </c>
      <c r="BW18" s="191"/>
      <c r="BX18" s="36">
        <f>SUM(BU18+BX17)</f>
        <v>38454.597338960601</v>
      </c>
      <c r="BY18" s="36">
        <f>SUM(BX18+BY17)</f>
        <v>38454.597338960601</v>
      </c>
      <c r="BZ18" s="36">
        <f>SUM(BY18+BZ17)</f>
        <v>38454.597338960601</v>
      </c>
      <c r="CA18" s="191">
        <f>BZ18</f>
        <v>38454.597338960601</v>
      </c>
      <c r="CB18" s="191"/>
      <c r="CC18" s="36">
        <f>SUM(BZ18+CC17)</f>
        <v>38454.597338960601</v>
      </c>
      <c r="CD18" s="36">
        <f>SUM(CC18+CD17)</f>
        <v>38454.597338960601</v>
      </c>
      <c r="CE18" s="36">
        <f>SUM(CD18+CE17)</f>
        <v>38454.597338960601</v>
      </c>
      <c r="CF18" s="191">
        <f>CE18</f>
        <v>38454.597338960601</v>
      </c>
      <c r="CG18" s="198"/>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5"/>
      <c r="B19" s="160"/>
      <c r="C19" s="323"/>
      <c r="D19" s="40"/>
      <c r="E19" s="42"/>
      <c r="F19" s="64"/>
      <c r="G19" s="31"/>
      <c r="H19" s="31"/>
      <c r="I19" s="31"/>
      <c r="J19" s="30"/>
      <c r="K19" s="31"/>
      <c r="L19" s="31"/>
      <c r="M19" s="31"/>
      <c r="N19" s="31"/>
      <c r="O19" s="30"/>
      <c r="P19" s="31"/>
      <c r="Q19" s="31"/>
      <c r="R19" s="31"/>
      <c r="S19" s="31"/>
      <c r="T19" s="108"/>
      <c r="U19" s="160"/>
      <c r="V19" s="31"/>
      <c r="W19" s="65"/>
      <c r="X19" s="169"/>
      <c r="Y19" s="64"/>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56" t="s">
        <v>190</v>
      </c>
      <c r="B20" s="292"/>
      <c r="C20" s="324"/>
      <c r="D20" s="302"/>
      <c r="E20" s="303"/>
      <c r="F20" s="100"/>
      <c r="G20" s="76"/>
      <c r="H20" s="76"/>
      <c r="I20" s="76"/>
      <c r="J20" s="275"/>
      <c r="K20" s="76"/>
      <c r="L20" s="76"/>
      <c r="M20" s="76"/>
      <c r="N20" s="76"/>
      <c r="O20" s="275"/>
      <c r="P20" s="76"/>
      <c r="Q20" s="76"/>
      <c r="R20" s="76"/>
      <c r="S20" s="76"/>
      <c r="T20" s="273"/>
      <c r="U20" s="274"/>
      <c r="V20" s="275"/>
      <c r="W20" s="276"/>
      <c r="X20" s="176"/>
      <c r="Y20" s="504"/>
      <c r="Z20" s="71"/>
      <c r="AA20" s="71"/>
      <c r="AB20" s="71"/>
      <c r="AC20" s="285"/>
      <c r="AD20" s="72"/>
      <c r="AE20" s="71"/>
      <c r="AF20" s="71"/>
      <c r="AG20" s="71"/>
      <c r="AH20" s="285"/>
      <c r="AI20" s="72"/>
      <c r="AJ20" s="71"/>
      <c r="AK20" s="71"/>
      <c r="AL20" s="71"/>
      <c r="AM20" s="285"/>
      <c r="AN20" s="72"/>
      <c r="AO20" s="71"/>
      <c r="AP20" s="71"/>
      <c r="AQ20" s="71"/>
      <c r="AR20" s="285"/>
      <c r="AS20" s="72"/>
      <c r="AT20" s="71"/>
      <c r="AU20" s="71"/>
      <c r="AV20" s="71"/>
      <c r="AW20" s="285"/>
      <c r="AX20" s="72"/>
      <c r="AY20" s="71"/>
      <c r="AZ20" s="71"/>
      <c r="BA20" s="71"/>
      <c r="BB20" s="285"/>
      <c r="BC20" s="72"/>
      <c r="BD20" s="71"/>
      <c r="BE20" s="71"/>
      <c r="BF20" s="71"/>
      <c r="BG20" s="285"/>
      <c r="BH20" s="72"/>
      <c r="BI20" s="71"/>
      <c r="BJ20" s="71"/>
      <c r="BK20" s="71"/>
      <c r="BL20" s="285"/>
      <c r="BM20" s="72"/>
      <c r="BN20" s="71"/>
      <c r="BO20" s="71"/>
      <c r="BP20" s="71"/>
      <c r="BQ20" s="285"/>
      <c r="BR20" s="72"/>
      <c r="BS20" s="71"/>
      <c r="BT20" s="71"/>
      <c r="BU20" s="71"/>
      <c r="BV20" s="285"/>
      <c r="BW20" s="72"/>
      <c r="BX20" s="71"/>
      <c r="BY20" s="71"/>
      <c r="BZ20" s="71"/>
      <c r="CA20" s="285"/>
      <c r="CB20" s="72"/>
      <c r="CC20" s="71"/>
      <c r="CD20" s="71"/>
      <c r="CE20" s="71"/>
      <c r="CF20" s="285"/>
      <c r="CG20" s="89"/>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57" t="s">
        <v>191</v>
      </c>
      <c r="B21" s="278">
        <v>0.3</v>
      </c>
      <c r="C21" s="304">
        <v>7.0000000000000007E-2</v>
      </c>
      <c r="D21" s="474">
        <f>SUM('Your Estimation'!B38/12)</f>
        <v>0</v>
      </c>
      <c r="E21" s="466">
        <v>0</v>
      </c>
      <c r="F21" s="129">
        <v>0</v>
      </c>
      <c r="G21" s="128">
        <v>0</v>
      </c>
      <c r="H21" s="33">
        <f>SUM(IF(ISBLANK(D21),B21,D21))</f>
        <v>0</v>
      </c>
      <c r="I21" s="33">
        <f>SUM(IF((1*(IF(ISBLANK(E21),C21,E21)))+IF(ISBLANK(D21),B21,D21) &lt; 0, 0, (1*(IF(ISBLANK(E21),C21,E21)))+IF(ISBLANK(D21),B21,D21)))</f>
        <v>0</v>
      </c>
      <c r="J21" s="282">
        <f>SUM(AC21+AH21+AM21+AR21)</f>
        <v>0</v>
      </c>
      <c r="K21" s="33">
        <f>SUM(IF((2*(IF(ISBLANK(E21),C21,E21)))+IF(ISBLANK(D21),B21,D21) &lt; 0, 0, (2*(IF(ISBLANK(E21),C21,E21)))+IF(ISBLANK(D21),B21,D21)))</f>
        <v>0</v>
      </c>
      <c r="L21" s="33">
        <f>SUM(IF((3*(IF(ISBLANK(E21),C21,E21)))+IF(ISBLANK(D21),B21,D21) &lt; 0, 0, (3*(IF(ISBLANK(E21),C21,E21)))+IF(ISBLANK(D21),B21,D21)))</f>
        <v>0</v>
      </c>
      <c r="M21" s="33">
        <f>SUM(IF((4*(IF(ISBLANK(E21),C21,E21)))+IF(ISBLANK(D21),B21,D21) &lt; 0, 0, (4*(IF(ISBLANK(E21),C21,E21)))+IF(ISBLANK(D21),B21,D21)))</f>
        <v>0</v>
      </c>
      <c r="N21" s="33">
        <f>SUM(IF((5*(IF(ISBLANK(E21),C21,E21)))+IF(ISBLANK(D21),B21,D21) &lt; 0, 0, (5*(IF(ISBLANK(E21),C21,E21)))+IF(ISBLANK(D21),B21,D21)))</f>
        <v>0</v>
      </c>
      <c r="O21" s="282">
        <f>SUM(AW21+BB21+BG21+BL21)</f>
        <v>0</v>
      </c>
      <c r="P21" s="33">
        <f>SUM(IF((6*(IF(ISBLANK(E21),C21,E21)))+IF(ISBLANK(D21),B21,D21) &lt; 0, 0, (6*(IF(ISBLANK(E21),C21,E21)))+IF(ISBLANK(D21),B21,D21)))</f>
        <v>0</v>
      </c>
      <c r="Q21" s="33">
        <f>SUM(IF((7*(IF(ISBLANK(E21),C21,E21)))+IF(ISBLANK(D21),B21,D21) &lt; 0, 0, (7*(IF(ISBLANK(E21),C21,E21)))+IF(ISBLANK(D21),B21,D21)))</f>
        <v>0</v>
      </c>
      <c r="R21" s="33">
        <f>SUM(IF((8*(IF(ISBLANK(E21),C21,E21)))+IF(ISBLANK(D21),B21,D21) &lt; 0, 0, (8*(IF(ISBLANK(E21),C21,E21)))+IF(ISBLANK(D21),B21,D21)))</f>
        <v>0</v>
      </c>
      <c r="S21" s="33">
        <f>SUM(IF((9*(IF(ISBLANK(E21),C21,E21)))+IF(ISBLANK(D21),B21,D21) &lt; 0, 0, (9*(IF(ISBLANK(E21),C21,E21)))+IF(ISBLANK(D21),B21,D21)))</f>
        <v>0</v>
      </c>
      <c r="T21" s="305">
        <f>SUM(BQ21+BV21+CA21+CF21)</f>
        <v>0</v>
      </c>
      <c r="U21" s="278">
        <f>SUM(IF((11*(IF(ISBLANK(E21),C21,E21)))+IF(ISBLANK(D21),B21,D21) &lt; 0, 0, (11*(IF(ISBLANK(E21),C21,E21)))+IF(ISBLANK(D21),B21,D21)))*12</f>
        <v>0</v>
      </c>
      <c r="V21" s="279">
        <f>SUM(IF((13*(IF(ISBLANK(E21),C21,E21)))+IF(ISBLANK(D21),B21,D21) &lt; 0, 0, (13*(IF(ISBLANK(E21),C21,E21)))+IF(ISBLANK(D21),B21,D21)))*12</f>
        <v>0</v>
      </c>
      <c r="W21" s="280">
        <f>SUM(IF((15*(IF(ISBLANK(E21),C21,E21)))+IF(ISBLANK(D21),B21,D21) &lt; 0, 0, (15*(IF(ISBLANK(E21),C21,E21)))+IF(ISBLANK(D21),B21,D21)))*12</f>
        <v>0</v>
      </c>
      <c r="X21" s="177"/>
      <c r="Y21" s="505">
        <v>0</v>
      </c>
      <c r="Z21" s="73">
        <f>SUM(Z18*F21)</f>
        <v>0</v>
      </c>
      <c r="AA21" s="73">
        <f>SUM(AA18*F21)</f>
        <v>0</v>
      </c>
      <c r="AB21" s="73">
        <f>SUM(AB18*F21)</f>
        <v>0</v>
      </c>
      <c r="AC21" s="282">
        <f t="shared" ref="AC21:AC29" si="106">SUM(Z21:AB21)</f>
        <v>0</v>
      </c>
      <c r="AD21" s="74"/>
      <c r="AE21" s="73">
        <f>SUM(AE18*G21)</f>
        <v>0</v>
      </c>
      <c r="AF21" s="73">
        <f>SUM(AF18*G21)</f>
        <v>0</v>
      </c>
      <c r="AG21" s="73">
        <f>SUM(AG18*G21)</f>
        <v>0</v>
      </c>
      <c r="AH21" s="282">
        <f t="shared" ref="AH21:AH29" si="107">SUM(AE21:AG21)</f>
        <v>0</v>
      </c>
      <c r="AI21" s="74"/>
      <c r="AJ21" s="73">
        <f>SUM(AJ18*H21)</f>
        <v>0</v>
      </c>
      <c r="AK21" s="73">
        <f>SUM(AK18*H21)</f>
        <v>0</v>
      </c>
      <c r="AL21" s="73">
        <f>SUM(AL18*H21)</f>
        <v>0</v>
      </c>
      <c r="AM21" s="282">
        <f t="shared" ref="AM21:AM29" si="108">SUM(AJ21:AL21)</f>
        <v>0</v>
      </c>
      <c r="AN21" s="74"/>
      <c r="AO21" s="73">
        <f>SUM(AO18*I21)</f>
        <v>0</v>
      </c>
      <c r="AP21" s="73">
        <f>SUM(AP18*I21)</f>
        <v>0</v>
      </c>
      <c r="AQ21" s="73">
        <f>SUM(AQ18*I21)</f>
        <v>0</v>
      </c>
      <c r="AR21" s="282">
        <f t="shared" ref="AR21:AR29" si="109">SUM(AO21:AQ21)</f>
        <v>0</v>
      </c>
      <c r="AS21" s="74"/>
      <c r="AT21" s="73">
        <f>SUM(AT18*K21)</f>
        <v>0</v>
      </c>
      <c r="AU21" s="73">
        <f>SUM(AU18*K21)</f>
        <v>0</v>
      </c>
      <c r="AV21" s="73">
        <f>SUM(AV18*K21)</f>
        <v>0</v>
      </c>
      <c r="AW21" s="282">
        <f t="shared" ref="AW21:AW29" si="110">SUM(AT21:AV21)</f>
        <v>0</v>
      </c>
      <c r="AX21" s="74"/>
      <c r="AY21" s="73">
        <f>SUM(AY18*L21)</f>
        <v>0</v>
      </c>
      <c r="AZ21" s="73">
        <f>SUM(AZ18*L21)</f>
        <v>0</v>
      </c>
      <c r="BA21" s="73">
        <f>SUM(BA18*L21)</f>
        <v>0</v>
      </c>
      <c r="BB21" s="282">
        <f t="shared" ref="BB21:BB29" si="111">SUM(AY21:BA21)</f>
        <v>0</v>
      </c>
      <c r="BC21" s="74"/>
      <c r="BD21" s="73">
        <f>SUM(BD18*M21)</f>
        <v>0</v>
      </c>
      <c r="BE21" s="73">
        <f>SUM(BE18*M21)</f>
        <v>0</v>
      </c>
      <c r="BF21" s="73">
        <f>SUM(BF18*M21)</f>
        <v>0</v>
      </c>
      <c r="BG21" s="282">
        <f t="shared" ref="BG21:BG29" si="112">SUM(BD21:BF21)</f>
        <v>0</v>
      </c>
      <c r="BH21" s="74"/>
      <c r="BI21" s="73">
        <f>SUM(BI18*N21)</f>
        <v>0</v>
      </c>
      <c r="BJ21" s="73">
        <f>SUM(BJ18*N21)</f>
        <v>0</v>
      </c>
      <c r="BK21" s="73">
        <f>SUM(BK18*N21)</f>
        <v>0</v>
      </c>
      <c r="BL21" s="282">
        <f t="shared" ref="BL21:BL29" si="113">SUM(BI21:BK21)</f>
        <v>0</v>
      </c>
      <c r="BM21" s="74"/>
      <c r="BN21" s="73">
        <f>SUM(BN18*P21)</f>
        <v>0</v>
      </c>
      <c r="BO21" s="73">
        <f>SUM(BO18*P21)</f>
        <v>0</v>
      </c>
      <c r="BP21" s="73">
        <f>SUM(BP18*P21)</f>
        <v>0</v>
      </c>
      <c r="BQ21" s="282">
        <f t="shared" ref="BQ21:BQ29" si="114">SUM(BN21:BP21)</f>
        <v>0</v>
      </c>
      <c r="BR21" s="74"/>
      <c r="BS21" s="73">
        <f>SUM(BS18*Q21)</f>
        <v>0</v>
      </c>
      <c r="BT21" s="73">
        <f>SUM(BT18*Q21)</f>
        <v>0</v>
      </c>
      <c r="BU21" s="73">
        <f>SUM(BU18*Q21)</f>
        <v>0</v>
      </c>
      <c r="BV21" s="282">
        <f t="shared" ref="BV21:BV29" si="115">SUM(BS21:BU21)</f>
        <v>0</v>
      </c>
      <c r="BW21" s="74"/>
      <c r="BX21" s="73">
        <f>SUM(BX18*R21)</f>
        <v>0</v>
      </c>
      <c r="BY21" s="73">
        <f>SUM(BY18*R21)</f>
        <v>0</v>
      </c>
      <c r="BZ21" s="73">
        <f>SUM(BZ18*R21)</f>
        <v>0</v>
      </c>
      <c r="CA21" s="282">
        <f t="shared" ref="CA21:CA29" si="116">SUM(BX21:BZ21)</f>
        <v>0</v>
      </c>
      <c r="CB21" s="74"/>
      <c r="CC21" s="73">
        <f>SUM(CC18*S21)</f>
        <v>0</v>
      </c>
      <c r="CD21" s="73">
        <f>SUM(CD18*S21)</f>
        <v>0</v>
      </c>
      <c r="CE21" s="73">
        <f>SUM(CE18*S21)</f>
        <v>0</v>
      </c>
      <c r="CF21" s="282">
        <f t="shared" ref="CF21:CF29" si="117">SUM(CC21:CE21)</f>
        <v>0</v>
      </c>
      <c r="CG21" s="88"/>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57" t="s">
        <v>192</v>
      </c>
      <c r="B22" s="278">
        <v>0.27</v>
      </c>
      <c r="C22" s="304">
        <v>7.0000000000000007E-2</v>
      </c>
      <c r="D22" s="474">
        <f>SUM('Your Estimation'!B33/12)</f>
        <v>0</v>
      </c>
      <c r="E22" s="466">
        <v>0</v>
      </c>
      <c r="F22" s="129">
        <v>0</v>
      </c>
      <c r="G22" s="128">
        <v>0</v>
      </c>
      <c r="H22" s="33">
        <f t="shared" ref="H22" si="118">SUM(IF(ISBLANK(D22),B22,D22))</f>
        <v>0</v>
      </c>
      <c r="I22" s="33">
        <f t="shared" ref="I22" si="119">SUM(IF((1*(IF(ISBLANK(E22),C22,E22)))+IF(ISBLANK(D22),B22,D22) &lt; 0, 0, (1*(IF(ISBLANK(E22),C22,E22)))+IF(ISBLANK(D22),B22,D22)))</f>
        <v>0</v>
      </c>
      <c r="J22" s="282">
        <f>SUM(AC22+AH22+AM22+AR22)</f>
        <v>0</v>
      </c>
      <c r="K22" s="33">
        <f t="shared" ref="K22" si="120">SUM(IF((2*(IF(ISBLANK(E22),C22,E22)))+IF(ISBLANK(D22),B22,D22) &lt; 0, 0, (2*(IF(ISBLANK(E22),C22,E22)))+IF(ISBLANK(D22),B22,D22)))</f>
        <v>0</v>
      </c>
      <c r="L22" s="33">
        <f t="shared" ref="L22" si="121">SUM(IF((3*(IF(ISBLANK(E22),C22,E22)))+IF(ISBLANK(D22),B22,D22) &lt; 0, 0, (3*(IF(ISBLANK(E22),C22,E22)))+IF(ISBLANK(D22),B22,D22)))</f>
        <v>0</v>
      </c>
      <c r="M22" s="33">
        <f t="shared" ref="M22" si="122">SUM(IF((4*(IF(ISBLANK(E22),C22,E22)))+IF(ISBLANK(D22),B22,D22) &lt; 0, 0, (4*(IF(ISBLANK(E22),C22,E22)))+IF(ISBLANK(D22),B22,D22)))</f>
        <v>0</v>
      </c>
      <c r="N22" s="33">
        <f t="shared" ref="N22" si="123">SUM(IF((5*(IF(ISBLANK(E22),C22,E22)))+IF(ISBLANK(D22),B22,D22) &lt; 0, 0, (5*(IF(ISBLANK(E22),C22,E22)))+IF(ISBLANK(D22),B22,D22)))</f>
        <v>0</v>
      </c>
      <c r="O22" s="282">
        <f t="shared" ref="O22:O29" si="124">SUM(AW22+BB22+BG22+BL22)</f>
        <v>0</v>
      </c>
      <c r="P22" s="33">
        <f t="shared" ref="P22" si="125">SUM(IF((6*(IF(ISBLANK(E22),C22,E22)))+IF(ISBLANK(D22),B22,D22) &lt; 0, 0, (6*(IF(ISBLANK(E22),C22,E22)))+IF(ISBLANK(D22),B22,D22)))</f>
        <v>0</v>
      </c>
      <c r="Q22" s="33">
        <f t="shared" ref="Q22" si="126">SUM(IF((7*(IF(ISBLANK(E22),C22,E22)))+IF(ISBLANK(D22),B22,D22) &lt; 0, 0, (7*(IF(ISBLANK(E22),C22,E22)))+IF(ISBLANK(D22),B22,D22)))</f>
        <v>0</v>
      </c>
      <c r="R22" s="33">
        <f t="shared" ref="R22" si="127">SUM(IF((8*(IF(ISBLANK(E22),C22,E22)))+IF(ISBLANK(D22),B22,D22) &lt; 0, 0, (8*(IF(ISBLANK(E22),C22,E22)))+IF(ISBLANK(D22),B22,D22)))</f>
        <v>0</v>
      </c>
      <c r="S22" s="33">
        <f t="shared" ref="S22" si="128">SUM(IF((9*(IF(ISBLANK(E22),C22,E22)))+IF(ISBLANK(D22),B22,D22) &lt; 0, 0, (9*(IF(ISBLANK(E22),C22,E22)))+IF(ISBLANK(D22),B22,D22)))</f>
        <v>0</v>
      </c>
      <c r="T22" s="305">
        <f t="shared" ref="T22:T29" si="129">SUM(BQ22+BV22+CA22+CF22)</f>
        <v>0</v>
      </c>
      <c r="U22" s="278">
        <f>SUM(IF((11*(IF(ISBLANK(E22),C22,E22)))+IF(ISBLANK(D22),B22,D22) &lt; 0, 0, (11*(IF(ISBLANK(E22),C22,E22)))+IF(ISBLANK(D22),B22,D22)))*12</f>
        <v>0</v>
      </c>
      <c r="V22" s="279">
        <f>SUM(IF((13*(IF(ISBLANK(E22),C22,E22)))+IF(ISBLANK(D22),B22,D22) &lt; 0, 0, (13*(IF(ISBLANK(E22),C22,E22)))+IF(ISBLANK(D22),B22,D22)))*12</f>
        <v>0</v>
      </c>
      <c r="W22" s="280">
        <f>SUM(IF((15*(IF(ISBLANK(E22),C22,E22)))+IF(ISBLANK(D22),B22,D22) &lt; 0, 0, (15*(IF(ISBLANK(E22),C22,E22)))+IF(ISBLANK(D22),B22,D22)))*12</f>
        <v>0</v>
      </c>
      <c r="X22" s="177"/>
      <c r="Y22" s="505">
        <v>0</v>
      </c>
      <c r="Z22" s="73">
        <f>SUM(Z18*F22)</f>
        <v>0</v>
      </c>
      <c r="AA22" s="73">
        <f>SUM(AA18*F22)</f>
        <v>0</v>
      </c>
      <c r="AB22" s="73">
        <f>SUM(AB18*F22)</f>
        <v>0</v>
      </c>
      <c r="AC22" s="282">
        <f t="shared" si="106"/>
        <v>0</v>
      </c>
      <c r="AD22" s="74"/>
      <c r="AE22" s="73">
        <f>SUM(AE18*G22)</f>
        <v>0</v>
      </c>
      <c r="AF22" s="73">
        <f>SUM(AF18*G22)</f>
        <v>0</v>
      </c>
      <c r="AG22" s="73">
        <f>SUM(AG18*G22)</f>
        <v>0</v>
      </c>
      <c r="AH22" s="282">
        <f t="shared" si="107"/>
        <v>0</v>
      </c>
      <c r="AI22" s="74"/>
      <c r="AJ22" s="73">
        <f t="shared" ref="AJ22:AJ28" si="130">SUM(AJ19*H22)</f>
        <v>0</v>
      </c>
      <c r="AK22" s="73">
        <f t="shared" ref="AK22:AK28" si="131">SUM(AK19*H22)</f>
        <v>0</v>
      </c>
      <c r="AL22" s="73">
        <f t="shared" ref="AL22:AL28" si="132">SUM(AL19*H22)</f>
        <v>0</v>
      </c>
      <c r="AM22" s="282">
        <f t="shared" si="108"/>
        <v>0</v>
      </c>
      <c r="AN22" s="74"/>
      <c r="AO22" s="73">
        <f>SUM(AO18*I22)</f>
        <v>0</v>
      </c>
      <c r="AP22" s="73">
        <f>SUM(AP18*I22)</f>
        <v>0</v>
      </c>
      <c r="AQ22" s="73">
        <f>SUM(AQ18*I22)</f>
        <v>0</v>
      </c>
      <c r="AR22" s="282">
        <f t="shared" si="109"/>
        <v>0</v>
      </c>
      <c r="AS22" s="74"/>
      <c r="AT22" s="73">
        <f>SUM(AT18*K22)</f>
        <v>0</v>
      </c>
      <c r="AU22" s="73">
        <f>SUM(AU18*K22)</f>
        <v>0</v>
      </c>
      <c r="AV22" s="73">
        <f>SUM(AV18*K22)</f>
        <v>0</v>
      </c>
      <c r="AW22" s="282">
        <f t="shared" si="110"/>
        <v>0</v>
      </c>
      <c r="AX22" s="74"/>
      <c r="AY22" s="73">
        <f>SUM(AY18*L22)</f>
        <v>0</v>
      </c>
      <c r="AZ22" s="73">
        <f>SUM(AZ18*L22)</f>
        <v>0</v>
      </c>
      <c r="BA22" s="73">
        <f>SUM(BA18*L22)</f>
        <v>0</v>
      </c>
      <c r="BB22" s="282">
        <f t="shared" si="111"/>
        <v>0</v>
      </c>
      <c r="BC22" s="74"/>
      <c r="BD22" s="73">
        <f>SUM(BD18*M22)</f>
        <v>0</v>
      </c>
      <c r="BE22" s="73">
        <f>SUM(BE18*M22)</f>
        <v>0</v>
      </c>
      <c r="BF22" s="73">
        <f>SUM(BF18*M22)</f>
        <v>0</v>
      </c>
      <c r="BG22" s="282">
        <f t="shared" si="112"/>
        <v>0</v>
      </c>
      <c r="BH22" s="74"/>
      <c r="BI22" s="73">
        <f>SUM(BI18*N22)</f>
        <v>0</v>
      </c>
      <c r="BJ22" s="73">
        <f>SUM(BJ18*N22)</f>
        <v>0</v>
      </c>
      <c r="BK22" s="73">
        <f>SUM(BK18*N22)</f>
        <v>0</v>
      </c>
      <c r="BL22" s="282">
        <f t="shared" si="113"/>
        <v>0</v>
      </c>
      <c r="BM22" s="74"/>
      <c r="BN22" s="73">
        <f>SUM(BN18*P22)</f>
        <v>0</v>
      </c>
      <c r="BO22" s="73">
        <f>SUM(BO18*P22)</f>
        <v>0</v>
      </c>
      <c r="BP22" s="73">
        <f>SUM(BP18*P22)</f>
        <v>0</v>
      </c>
      <c r="BQ22" s="282">
        <f t="shared" si="114"/>
        <v>0</v>
      </c>
      <c r="BR22" s="74"/>
      <c r="BS22" s="73">
        <f>SUM(BS18*Q22)</f>
        <v>0</v>
      </c>
      <c r="BT22" s="73">
        <f>SUM(BT18*Q22)</f>
        <v>0</v>
      </c>
      <c r="BU22" s="73">
        <f>SUM(BU18*Q22)</f>
        <v>0</v>
      </c>
      <c r="BV22" s="282">
        <f t="shared" si="115"/>
        <v>0</v>
      </c>
      <c r="BW22" s="74"/>
      <c r="BX22" s="73">
        <f>SUM(BX18*R22)</f>
        <v>0</v>
      </c>
      <c r="BY22" s="73">
        <f>SUM(BY18*R22)</f>
        <v>0</v>
      </c>
      <c r="BZ22" s="73">
        <f>SUM(BZ18*R22)</f>
        <v>0</v>
      </c>
      <c r="CA22" s="282">
        <f t="shared" si="116"/>
        <v>0</v>
      </c>
      <c r="CB22" s="74"/>
      <c r="CC22" s="73">
        <f>SUM(CC18*S22)</f>
        <v>0</v>
      </c>
      <c r="CD22" s="73">
        <f>SUM(CD18*S22)</f>
        <v>0</v>
      </c>
      <c r="CE22" s="73">
        <f>SUM(CE18*S22)</f>
        <v>0</v>
      </c>
      <c r="CF22" s="282">
        <f t="shared" si="117"/>
        <v>0</v>
      </c>
      <c r="CG22" s="88"/>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57" t="s">
        <v>193</v>
      </c>
      <c r="B23" s="278">
        <v>0.02</v>
      </c>
      <c r="C23" s="304">
        <v>7.0000000000000007E-2</v>
      </c>
      <c r="D23" s="474">
        <f>SUM(('Your Estimation'!B43/12)/3)</f>
        <v>0</v>
      </c>
      <c r="E23" s="466">
        <v>0</v>
      </c>
      <c r="F23" s="129">
        <v>0</v>
      </c>
      <c r="G23" s="128">
        <v>0</v>
      </c>
      <c r="H23" s="360">
        <v>0</v>
      </c>
      <c r="I23" s="360">
        <v>0</v>
      </c>
      <c r="J23" s="282">
        <f t="shared" ref="J23:J29" si="133">SUM(AC23+AH23+AM23+AR23)</f>
        <v>0</v>
      </c>
      <c r="K23" s="33">
        <f>SUM(IF((0*(IF(ISBLANK(E23),C23,E23)))+IF(ISBLANK(D23),B23,D23) &lt; 0, 0, (0*(IF(ISBLANK(E23),C23,E23)))+IF(ISBLANK(D23),B23,D23)))</f>
        <v>0</v>
      </c>
      <c r="L23" s="33">
        <f>SUM(IF((1*(IF(ISBLANK(E23),C23,E23)))+IF(ISBLANK(D23),B23,D23) &lt; 0, 0, (1*(IF(ISBLANK(E23),C23,E23)))+IF(ISBLANK(D23),B23,D23)))</f>
        <v>0</v>
      </c>
      <c r="M23" s="33">
        <f>SUM(IF((2*(IF(ISBLANK(E23),C23,E23)))+IF(ISBLANK(D23),B23,D23) &lt; 0, 0, (2*(IF(ISBLANK(E23),C23,E23)))+IF(ISBLANK(D23),B23,D23)))</f>
        <v>0</v>
      </c>
      <c r="N23" s="33">
        <f>SUM(IF((3*(IF(ISBLANK(E23),C23,E23)))+IF(ISBLANK(D23),B23,D23) &lt; 0, 0, (3*(IF(ISBLANK(E23),C23,E23)))+IF(ISBLANK(D23),B23,D23)))</f>
        <v>0</v>
      </c>
      <c r="O23" s="282">
        <f t="shared" si="124"/>
        <v>0</v>
      </c>
      <c r="P23" s="33">
        <f>SUM(IF((4*(IF(ISBLANK(E23),C23,E23)))+IF(ISBLANK(D23),B23,D23) &lt; 0, 0, (4*(IF(ISBLANK(E23),C23,E23)))+IF(ISBLANK(D23),B23,D23)))</f>
        <v>0</v>
      </c>
      <c r="Q23" s="33">
        <f>SUM(IF((5*(IF(ISBLANK(E23),C23,E23)))+IF(ISBLANK(D23),B23,D23) &lt; 0, 0, (5*(IF(ISBLANK(E23),C23,E23)))+IF(ISBLANK(D23),B23,D23)))</f>
        <v>0</v>
      </c>
      <c r="R23" s="33">
        <f>SUM(IF((6*(IF(ISBLANK(E23),C23,E23)))+IF(ISBLANK(D23),B23,D23) &lt; 0, 0, (6*(IF(ISBLANK(E23),C23,E23)))+IF(ISBLANK(D23),B23,D23)))</f>
        <v>0</v>
      </c>
      <c r="S23" s="33">
        <f>SUM(IF((7*(IF(ISBLANK(E23),C23,E23)))+IF(ISBLANK(D23),B23,D23) &lt; 0, 0, (7*(IF(ISBLANK(E23),C23,E23)))+IF(ISBLANK(D23),B23,D23)))</f>
        <v>0</v>
      </c>
      <c r="T23" s="305">
        <f t="shared" si="129"/>
        <v>0</v>
      </c>
      <c r="U23" s="278">
        <f>SUM(IF((9*(IF(ISBLANK(E23),C23,E23)))+IF(ISBLANK(D23),B23,D23) &lt; 0, 0, (9*(IF(ISBLANK(E23),C23,E23)))+IF(ISBLANK(D23),B23,D23)))*12</f>
        <v>0</v>
      </c>
      <c r="V23" s="279">
        <f>SUM(IF((11*(IF(ISBLANK(E23),C23,E23)))+IF(ISBLANK(D23),B23,D23) &lt; 0, 0, (11*(IF(ISBLANK(E23),C23,E23)))+IF(ISBLANK(D23),B23,D23)))*12</f>
        <v>0</v>
      </c>
      <c r="W23" s="280">
        <f>SUM(IF((13*(IF(ISBLANK(E23),C23,E23)))+IF(ISBLANK(D23),B23,D23) &lt; 0, 0, (13*(IF(ISBLANK(E23),C23,E23)))+IF(ISBLANK(D23),B23,D23)))*12</f>
        <v>0</v>
      </c>
      <c r="X23" s="177"/>
      <c r="Y23" s="505">
        <v>0</v>
      </c>
      <c r="Z23" s="73">
        <f>SUM(Z18*F23)</f>
        <v>0</v>
      </c>
      <c r="AA23" s="73">
        <f>SUM(AA18*F23)</f>
        <v>0</v>
      </c>
      <c r="AB23" s="73">
        <f>SUM(AB18*F23)</f>
        <v>0</v>
      </c>
      <c r="AC23" s="282">
        <f t="shared" si="106"/>
        <v>0</v>
      </c>
      <c r="AD23" s="74"/>
      <c r="AE23" s="73">
        <f>SUM(AE18*G23)</f>
        <v>0</v>
      </c>
      <c r="AF23" s="73">
        <f>SUM(AF18*G23)</f>
        <v>0</v>
      </c>
      <c r="AG23" s="73">
        <f>SUM(AG18*G23)</f>
        <v>0</v>
      </c>
      <c r="AH23" s="282">
        <f t="shared" si="107"/>
        <v>0</v>
      </c>
      <c r="AI23" s="74"/>
      <c r="AJ23" s="73">
        <f t="shared" si="130"/>
        <v>0</v>
      </c>
      <c r="AK23" s="73">
        <f t="shared" si="131"/>
        <v>0</v>
      </c>
      <c r="AL23" s="73">
        <f t="shared" si="132"/>
        <v>0</v>
      </c>
      <c r="AM23" s="282">
        <f t="shared" si="108"/>
        <v>0</v>
      </c>
      <c r="AN23" s="74"/>
      <c r="AO23" s="73">
        <f>SUM(AO18*I23)</f>
        <v>0</v>
      </c>
      <c r="AP23" s="73">
        <f>SUM(AP18*I23)</f>
        <v>0</v>
      </c>
      <c r="AQ23" s="73">
        <f>SUM(AQ18*I23)</f>
        <v>0</v>
      </c>
      <c r="AR23" s="282">
        <f t="shared" si="109"/>
        <v>0</v>
      </c>
      <c r="AS23" s="74"/>
      <c r="AT23" s="73">
        <f>SUM(AT18*K23)</f>
        <v>0</v>
      </c>
      <c r="AU23" s="73">
        <f>SUM(AU18*K23)</f>
        <v>0</v>
      </c>
      <c r="AV23" s="73">
        <f>SUM(AV18*K23)</f>
        <v>0</v>
      </c>
      <c r="AW23" s="282">
        <f t="shared" si="110"/>
        <v>0</v>
      </c>
      <c r="AX23" s="74"/>
      <c r="AY23" s="73">
        <f>SUM(AY18*L23)</f>
        <v>0</v>
      </c>
      <c r="AZ23" s="73">
        <f>SUM(AZ18*L23)</f>
        <v>0</v>
      </c>
      <c r="BA23" s="73">
        <f>SUM(BA18*L23)</f>
        <v>0</v>
      </c>
      <c r="BB23" s="282">
        <f t="shared" si="111"/>
        <v>0</v>
      </c>
      <c r="BC23" s="74"/>
      <c r="BD23" s="73">
        <f>SUM(BD18*M23)</f>
        <v>0</v>
      </c>
      <c r="BE23" s="73">
        <f>SUM(BE18*M23)</f>
        <v>0</v>
      </c>
      <c r="BF23" s="73">
        <f>SUM(BF18*M23)</f>
        <v>0</v>
      </c>
      <c r="BG23" s="282">
        <f t="shared" si="112"/>
        <v>0</v>
      </c>
      <c r="BH23" s="74"/>
      <c r="BI23" s="73">
        <f>SUM(BI18*N23)</f>
        <v>0</v>
      </c>
      <c r="BJ23" s="73">
        <f>SUM(BJ18*N23)</f>
        <v>0</v>
      </c>
      <c r="BK23" s="73">
        <f>SUM(BK18*N23)</f>
        <v>0</v>
      </c>
      <c r="BL23" s="282">
        <f t="shared" si="113"/>
        <v>0</v>
      </c>
      <c r="BM23" s="74"/>
      <c r="BN23" s="73">
        <f>SUM(BN18*P23)</f>
        <v>0</v>
      </c>
      <c r="BO23" s="73">
        <f>SUM(BO18*P23)</f>
        <v>0</v>
      </c>
      <c r="BP23" s="73">
        <f>SUM(BP18*P23)</f>
        <v>0</v>
      </c>
      <c r="BQ23" s="282">
        <f t="shared" si="114"/>
        <v>0</v>
      </c>
      <c r="BR23" s="74"/>
      <c r="BS23" s="73">
        <f>SUM(BS18*Q23)</f>
        <v>0</v>
      </c>
      <c r="BT23" s="73">
        <f>SUM(BT18*Q23)</f>
        <v>0</v>
      </c>
      <c r="BU23" s="73">
        <f>SUM(BU18*Q23)</f>
        <v>0</v>
      </c>
      <c r="BV23" s="282">
        <f t="shared" si="115"/>
        <v>0</v>
      </c>
      <c r="BW23" s="74"/>
      <c r="BX23" s="73">
        <f>SUM(BX18*R23)</f>
        <v>0</v>
      </c>
      <c r="BY23" s="73">
        <f>SUM(BY18*R23)</f>
        <v>0</v>
      </c>
      <c r="BZ23" s="73">
        <f>SUM(BZ18*R23)</f>
        <v>0</v>
      </c>
      <c r="CA23" s="282">
        <f t="shared" si="116"/>
        <v>0</v>
      </c>
      <c r="CB23" s="74"/>
      <c r="CC23" s="73">
        <f>SUM(CC18*S23)</f>
        <v>0</v>
      </c>
      <c r="CD23" s="73">
        <f>SUM(CD18*S23)</f>
        <v>0</v>
      </c>
      <c r="CE23" s="73">
        <f>SUM(CE18*S23)</f>
        <v>0</v>
      </c>
      <c r="CF23" s="282">
        <f t="shared" si="117"/>
        <v>0</v>
      </c>
      <c r="CG23" s="88"/>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57" t="s">
        <v>194</v>
      </c>
      <c r="B24" s="278">
        <v>0.01</v>
      </c>
      <c r="C24" s="304">
        <v>0.1</v>
      </c>
      <c r="D24" s="474">
        <f>SUM(('Your Estimation'!B43/12)/3)</f>
        <v>0</v>
      </c>
      <c r="E24" s="466">
        <v>0</v>
      </c>
      <c r="F24" s="129">
        <v>0</v>
      </c>
      <c r="G24" s="128">
        <v>0</v>
      </c>
      <c r="H24" s="360">
        <v>0</v>
      </c>
      <c r="I24" s="360">
        <v>0</v>
      </c>
      <c r="J24" s="282">
        <f t="shared" si="133"/>
        <v>0</v>
      </c>
      <c r="K24" s="33">
        <f>SUM(IF((0*(IF(ISBLANK(E24),C24,E24)))+IF(ISBLANK(D24),B24,D24) &lt; 0, 0, (0*(IF(ISBLANK(E24),C24,E24)))+IF(ISBLANK(D24),B24,D24)))</f>
        <v>0</v>
      </c>
      <c r="L24" s="33">
        <f>SUM(IF((1*(IF(ISBLANK(E24),C24,E24)))+IF(ISBLANK(D24),B24,D24) &lt; 0, 0, (1*(IF(ISBLANK(E24),C24,E24)))+IF(ISBLANK(D24),B24,D24)))</f>
        <v>0</v>
      </c>
      <c r="M24" s="33">
        <f>SUM(IF((2*(IF(ISBLANK(E24),C24,E24)))+IF(ISBLANK(D24),B24,D24) &lt; 0, 0, (2*(IF(ISBLANK(E24),C24,E24)))+IF(ISBLANK(D24),B24,D24)))</f>
        <v>0</v>
      </c>
      <c r="N24" s="33">
        <f>SUM(IF((3*(IF(ISBLANK(E24),C24,E24)))+IF(ISBLANK(D24),B24,D24) &lt; 0, 0, (3*(IF(ISBLANK(E24),C24,E24)))+IF(ISBLANK(D24),B24,D24)))</f>
        <v>0</v>
      </c>
      <c r="O24" s="282">
        <f t="shared" si="124"/>
        <v>0</v>
      </c>
      <c r="P24" s="33">
        <f>SUM(IF((4*(IF(ISBLANK(E24),C24,E24)))+IF(ISBLANK(D24),B24,D24) &lt; 0, 0, (4*(IF(ISBLANK(E24),C24,E24)))+IF(ISBLANK(D24),B24,D24)))</f>
        <v>0</v>
      </c>
      <c r="Q24" s="33">
        <f>SUM(IF((5*(IF(ISBLANK(E24),C24,E24)))+IF(ISBLANK(D24),B24,D24) &lt; 0, 0, (5*(IF(ISBLANK(E24),C24,E24)))+IF(ISBLANK(D24),B24,D24)))</f>
        <v>0</v>
      </c>
      <c r="R24" s="33">
        <f>SUM(IF((6*(IF(ISBLANK(E24),C24,E24)))+IF(ISBLANK(D24),B24,D24) &lt; 0, 0, (6*(IF(ISBLANK(E24),C24,E24)))+IF(ISBLANK(D24),B24,D24)))</f>
        <v>0</v>
      </c>
      <c r="S24" s="33">
        <f>SUM(IF((7*(IF(ISBLANK(E24),C24,E24)))+IF(ISBLANK(D24),B24,D24) &lt; 0, 0, (7*(IF(ISBLANK(E24),C24,E24)))+IF(ISBLANK(D24),B24,D24)))</f>
        <v>0</v>
      </c>
      <c r="T24" s="305">
        <f t="shared" si="129"/>
        <v>0</v>
      </c>
      <c r="U24" s="278">
        <f>SUM(IF((9*(IF(ISBLANK(E24),C24,E24)))+IF(ISBLANK(D24),B24,D24) &lt; 0, 0, (9*(IF(ISBLANK(E24),C24,E24)))+IF(ISBLANK(D24),B24,D24)))*12</f>
        <v>0</v>
      </c>
      <c r="V24" s="279">
        <f>SUM(IF((11*(IF(ISBLANK(E24),C24,E24)))+IF(ISBLANK(D24),B24,D24) &lt; 0, 0, (11*(IF(ISBLANK(E24),C24,E24)))+IF(ISBLANK(D24),B24,D24)))*12</f>
        <v>0</v>
      </c>
      <c r="W24" s="280">
        <f>SUM(IF((13*(IF(ISBLANK(E24),C24,E24)))+IF(ISBLANK(D24),B24,D24) &lt; 0, 0, (13*(IF(ISBLANK(E24),C24,E24)))+IF(ISBLANK(D24),B24,D24)))*12</f>
        <v>0</v>
      </c>
      <c r="X24" s="177"/>
      <c r="Y24" s="505">
        <v>0</v>
      </c>
      <c r="Z24" s="73">
        <f>SUM(Z18*F24)</f>
        <v>0</v>
      </c>
      <c r="AA24" s="73">
        <f>SUM(AA18*F24)</f>
        <v>0</v>
      </c>
      <c r="AB24" s="73">
        <f>SUM(AB18*F24)</f>
        <v>0</v>
      </c>
      <c r="AC24" s="282">
        <f t="shared" si="106"/>
        <v>0</v>
      </c>
      <c r="AD24" s="74"/>
      <c r="AE24" s="73">
        <f>SUM(AE18*G24)</f>
        <v>0</v>
      </c>
      <c r="AF24" s="73">
        <f>SUM(AF18*G24)</f>
        <v>0</v>
      </c>
      <c r="AG24" s="73">
        <f>SUM(AG18*G24)</f>
        <v>0</v>
      </c>
      <c r="AH24" s="282">
        <f t="shared" si="107"/>
        <v>0</v>
      </c>
      <c r="AI24" s="74"/>
      <c r="AJ24" s="73">
        <f t="shared" si="130"/>
        <v>0</v>
      </c>
      <c r="AK24" s="73">
        <f t="shared" si="131"/>
        <v>0</v>
      </c>
      <c r="AL24" s="73">
        <f t="shared" si="132"/>
        <v>0</v>
      </c>
      <c r="AM24" s="282">
        <f t="shared" si="108"/>
        <v>0</v>
      </c>
      <c r="AN24" s="74"/>
      <c r="AO24" s="73">
        <f>SUM(AO18*I24)</f>
        <v>0</v>
      </c>
      <c r="AP24" s="73">
        <f>SUM(AP18*I24)</f>
        <v>0</v>
      </c>
      <c r="AQ24" s="73">
        <f>SUM(AQ18*I24)</f>
        <v>0</v>
      </c>
      <c r="AR24" s="282">
        <f t="shared" si="109"/>
        <v>0</v>
      </c>
      <c r="AS24" s="74"/>
      <c r="AT24" s="73">
        <f>SUM(AT18*K24)</f>
        <v>0</v>
      </c>
      <c r="AU24" s="73">
        <f>SUM(AU18*K24)</f>
        <v>0</v>
      </c>
      <c r="AV24" s="73">
        <f>SUM(AV18*K24)</f>
        <v>0</v>
      </c>
      <c r="AW24" s="282">
        <f t="shared" si="110"/>
        <v>0</v>
      </c>
      <c r="AX24" s="74"/>
      <c r="AY24" s="73">
        <f>SUM(AY18*L24)</f>
        <v>0</v>
      </c>
      <c r="AZ24" s="73">
        <f>SUM(AZ18*L24)</f>
        <v>0</v>
      </c>
      <c r="BA24" s="73">
        <f>SUM(BA18*L24)</f>
        <v>0</v>
      </c>
      <c r="BB24" s="282">
        <f t="shared" si="111"/>
        <v>0</v>
      </c>
      <c r="BC24" s="74"/>
      <c r="BD24" s="73">
        <f>SUM(BD18*M24)</f>
        <v>0</v>
      </c>
      <c r="BE24" s="73">
        <f>SUM(BE18*M24)</f>
        <v>0</v>
      </c>
      <c r="BF24" s="73">
        <f>SUM(BF18*M24)</f>
        <v>0</v>
      </c>
      <c r="BG24" s="282">
        <f t="shared" si="112"/>
        <v>0</v>
      </c>
      <c r="BH24" s="74"/>
      <c r="BI24" s="73">
        <f>SUM(BI18*N24)</f>
        <v>0</v>
      </c>
      <c r="BJ24" s="73">
        <f>SUM(BJ18*N24)</f>
        <v>0</v>
      </c>
      <c r="BK24" s="73">
        <f>SUM(BK18*N24)</f>
        <v>0</v>
      </c>
      <c r="BL24" s="282">
        <f t="shared" si="113"/>
        <v>0</v>
      </c>
      <c r="BM24" s="74"/>
      <c r="BN24" s="73">
        <f>SUM(BN18*P24)</f>
        <v>0</v>
      </c>
      <c r="BO24" s="73">
        <f>SUM(BO18*P24)</f>
        <v>0</v>
      </c>
      <c r="BP24" s="73">
        <f>SUM(BP18*P24)</f>
        <v>0</v>
      </c>
      <c r="BQ24" s="282">
        <f t="shared" si="114"/>
        <v>0</v>
      </c>
      <c r="BR24" s="74"/>
      <c r="BS24" s="73">
        <f>SUM(BS18*Q24)</f>
        <v>0</v>
      </c>
      <c r="BT24" s="73">
        <f>SUM(BT18*Q24)</f>
        <v>0</v>
      </c>
      <c r="BU24" s="73">
        <f>SUM(BU18*Q24)</f>
        <v>0</v>
      </c>
      <c r="BV24" s="282">
        <f t="shared" si="115"/>
        <v>0</v>
      </c>
      <c r="BW24" s="74"/>
      <c r="BX24" s="73">
        <f>SUM(BX18*R24)</f>
        <v>0</v>
      </c>
      <c r="BY24" s="73">
        <f>SUM(BY18*R24)</f>
        <v>0</v>
      </c>
      <c r="BZ24" s="73">
        <f>SUM(BZ18*R24)</f>
        <v>0</v>
      </c>
      <c r="CA24" s="282">
        <f t="shared" si="116"/>
        <v>0</v>
      </c>
      <c r="CB24" s="74"/>
      <c r="CC24" s="73">
        <f>SUM(CC18*S24)</f>
        <v>0</v>
      </c>
      <c r="CD24" s="73">
        <f>SUM(CD18*S24)</f>
        <v>0</v>
      </c>
      <c r="CE24" s="73">
        <f>SUM(CE18*S24)</f>
        <v>0</v>
      </c>
      <c r="CF24" s="282">
        <f t="shared" si="117"/>
        <v>0</v>
      </c>
      <c r="CG24" s="88"/>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57" t="s">
        <v>195</v>
      </c>
      <c r="B25" s="278">
        <v>0.01</v>
      </c>
      <c r="C25" s="304">
        <v>0.02</v>
      </c>
      <c r="D25" s="474">
        <f>SUM(('Your Estimation'!B43/12)/3)</f>
        <v>0</v>
      </c>
      <c r="E25" s="466">
        <v>0</v>
      </c>
      <c r="F25" s="129">
        <v>0</v>
      </c>
      <c r="G25" s="128">
        <v>0</v>
      </c>
      <c r="H25" s="360">
        <v>0</v>
      </c>
      <c r="I25" s="360">
        <v>0</v>
      </c>
      <c r="J25" s="282">
        <f t="shared" si="133"/>
        <v>0</v>
      </c>
      <c r="K25" s="33">
        <f>SUM(IF((0*(IF(ISBLANK(E25),C25,E25)))+IF(ISBLANK(D25),B25,D25) &lt; 0, 0, (0*(IF(ISBLANK(E25),C25,E25)))+IF(ISBLANK(D25),B25,D25)))</f>
        <v>0</v>
      </c>
      <c r="L25" s="33">
        <f>SUM(IF((1*(IF(ISBLANK(E25),C25,E25)))+IF(ISBLANK(D25),B25,D25) &lt; 0, 0, (1*(IF(ISBLANK(E25),C25,E25)))+IF(ISBLANK(D25),B25,D25)))</f>
        <v>0</v>
      </c>
      <c r="M25" s="33">
        <f>SUM(IF((2*(IF(ISBLANK(E25),C25,E25)))+IF(ISBLANK(D25),B25,D25) &lt; 0, 0, (2*(IF(ISBLANK(E25),C25,E25)))+IF(ISBLANK(D25),B25,D25)))</f>
        <v>0</v>
      </c>
      <c r="N25" s="33">
        <f>SUM(IF((3*(IF(ISBLANK(E25),C25,E25)))+IF(ISBLANK(D25),B25,D25) &lt; 0, 0, (3*(IF(ISBLANK(E25),C25,E25)))+IF(ISBLANK(D25),B25,D25)))</f>
        <v>0</v>
      </c>
      <c r="O25" s="282">
        <f t="shared" si="124"/>
        <v>0</v>
      </c>
      <c r="P25" s="33">
        <f>SUM(IF((4*(IF(ISBLANK(E25),C25,E25)))+IF(ISBLANK(D25),B25,D25) &lt; 0, 0, (4*(IF(ISBLANK(E25),C25,E25)))+IF(ISBLANK(D25),B25,D25)))</f>
        <v>0</v>
      </c>
      <c r="Q25" s="33">
        <f>SUM(IF((5*(IF(ISBLANK(E25),C25,E25)))+IF(ISBLANK(D25),B25,D25) &lt; 0, 0, (5*(IF(ISBLANK(E25),C25,E25)))+IF(ISBLANK(D25),B25,D25)))</f>
        <v>0</v>
      </c>
      <c r="R25" s="33">
        <f>SUM(IF((6*(IF(ISBLANK(E25),C25,E25)))+IF(ISBLANK(D25),B25,D25) &lt; 0, 0, (6*(IF(ISBLANK(E25),C25,E25)))+IF(ISBLANK(D25),B25,D25)))</f>
        <v>0</v>
      </c>
      <c r="S25" s="33">
        <f>SUM(IF((7*(IF(ISBLANK(E25),C25,E25)))+IF(ISBLANK(D25),B25,D25) &lt; 0, 0, (7*(IF(ISBLANK(E25),C25,E25)))+IF(ISBLANK(D25),B25,D25)))</f>
        <v>0</v>
      </c>
      <c r="T25" s="305">
        <f t="shared" si="129"/>
        <v>0</v>
      </c>
      <c r="U25" s="278">
        <f>SUM(IF((9*(IF(ISBLANK(E25),C25,E25)))+IF(ISBLANK(D25),B25,D25) &lt; 0, 0, (9*(IF(ISBLANK(E25),C25,E25)))+IF(ISBLANK(D25),B25,D25)))*12</f>
        <v>0</v>
      </c>
      <c r="V25" s="279">
        <f>SUM(IF((11*(IF(ISBLANK(E25),C25,E25)))+IF(ISBLANK(D25),B25,D25) &lt; 0, 0, (11*(IF(ISBLANK(E25),C25,E25)))+IF(ISBLANK(D25),B25,D25)))*12</f>
        <v>0</v>
      </c>
      <c r="W25" s="280">
        <f>SUM(IF((13*(IF(ISBLANK(E25),C25,E25)))+IF(ISBLANK(D25),B25,D25) &lt; 0, 0, (13*(IF(ISBLANK(E25),C25,E25)))+IF(ISBLANK(D25),B25,D25)))*12</f>
        <v>0</v>
      </c>
      <c r="X25" s="177"/>
      <c r="Y25" s="505">
        <v>0</v>
      </c>
      <c r="Z25" s="73">
        <f>SUM(Z18*F25)</f>
        <v>0</v>
      </c>
      <c r="AA25" s="73">
        <f>SUM(AA18*F25)</f>
        <v>0</v>
      </c>
      <c r="AB25" s="73">
        <f>SUM(AB18*F25)</f>
        <v>0</v>
      </c>
      <c r="AC25" s="282">
        <f t="shared" si="106"/>
        <v>0</v>
      </c>
      <c r="AD25" s="74"/>
      <c r="AE25" s="73">
        <f>SUM(AE18*G25)</f>
        <v>0</v>
      </c>
      <c r="AF25" s="73">
        <f>SUM(AF18*G25)</f>
        <v>0</v>
      </c>
      <c r="AG25" s="73">
        <f>SUM(AG18*G25)</f>
        <v>0</v>
      </c>
      <c r="AH25" s="282">
        <f t="shared" si="107"/>
        <v>0</v>
      </c>
      <c r="AI25" s="74"/>
      <c r="AJ25" s="73">
        <f t="shared" si="130"/>
        <v>0</v>
      </c>
      <c r="AK25" s="73">
        <f t="shared" si="131"/>
        <v>0</v>
      </c>
      <c r="AL25" s="73">
        <f t="shared" si="132"/>
        <v>0</v>
      </c>
      <c r="AM25" s="282">
        <f t="shared" si="108"/>
        <v>0</v>
      </c>
      <c r="AN25" s="74"/>
      <c r="AO25" s="73">
        <f>SUM(AO18*I25)</f>
        <v>0</v>
      </c>
      <c r="AP25" s="73">
        <f>SUM(AP18*I25)</f>
        <v>0</v>
      </c>
      <c r="AQ25" s="73">
        <f>SUM(AQ18*I25)</f>
        <v>0</v>
      </c>
      <c r="AR25" s="282">
        <f t="shared" si="109"/>
        <v>0</v>
      </c>
      <c r="AS25" s="74"/>
      <c r="AT25" s="73">
        <f>SUM(AT18*K25)</f>
        <v>0</v>
      </c>
      <c r="AU25" s="73">
        <f>SUM(AU18*K25)</f>
        <v>0</v>
      </c>
      <c r="AV25" s="73">
        <f>SUM(AV18*K25)</f>
        <v>0</v>
      </c>
      <c r="AW25" s="282">
        <f t="shared" si="110"/>
        <v>0</v>
      </c>
      <c r="AX25" s="74"/>
      <c r="AY25" s="73">
        <f>SUM(AY18*L25)</f>
        <v>0</v>
      </c>
      <c r="AZ25" s="73">
        <f>SUM(AZ18*L25)</f>
        <v>0</v>
      </c>
      <c r="BA25" s="73">
        <f>SUM(BA18*L25)</f>
        <v>0</v>
      </c>
      <c r="BB25" s="282">
        <f t="shared" si="111"/>
        <v>0</v>
      </c>
      <c r="BC25" s="74"/>
      <c r="BD25" s="73">
        <f>SUM(BD18*M25)</f>
        <v>0</v>
      </c>
      <c r="BE25" s="73">
        <f>SUM(BE18*M25)</f>
        <v>0</v>
      </c>
      <c r="BF25" s="73">
        <f>SUM(BF18*M25)</f>
        <v>0</v>
      </c>
      <c r="BG25" s="282">
        <f t="shared" si="112"/>
        <v>0</v>
      </c>
      <c r="BH25" s="74"/>
      <c r="BI25" s="73">
        <f>SUM(BI18*N25)</f>
        <v>0</v>
      </c>
      <c r="BJ25" s="73">
        <f>SUM(BJ18*N25)</f>
        <v>0</v>
      </c>
      <c r="BK25" s="73">
        <f>SUM(BK18*N25)</f>
        <v>0</v>
      </c>
      <c r="BL25" s="282">
        <f t="shared" si="113"/>
        <v>0</v>
      </c>
      <c r="BM25" s="74"/>
      <c r="BN25" s="73">
        <f>SUM(BN18*P25)</f>
        <v>0</v>
      </c>
      <c r="BO25" s="73">
        <f>SUM(BO18*P25)</f>
        <v>0</v>
      </c>
      <c r="BP25" s="73">
        <f>SUM(BP18*P25)</f>
        <v>0</v>
      </c>
      <c r="BQ25" s="282">
        <f t="shared" si="114"/>
        <v>0</v>
      </c>
      <c r="BR25" s="74"/>
      <c r="BS25" s="73">
        <f>SUM(BS18*Q25)</f>
        <v>0</v>
      </c>
      <c r="BT25" s="73">
        <f>SUM(BT18*Q25)</f>
        <v>0</v>
      </c>
      <c r="BU25" s="73">
        <f>SUM(BU18*Q25)</f>
        <v>0</v>
      </c>
      <c r="BV25" s="282">
        <f t="shared" si="115"/>
        <v>0</v>
      </c>
      <c r="BW25" s="74"/>
      <c r="BX25" s="73">
        <f>SUM(BX18*R25)</f>
        <v>0</v>
      </c>
      <c r="BY25" s="73">
        <f>SUM(BY18*R25)</f>
        <v>0</v>
      </c>
      <c r="BZ25" s="73">
        <f>SUM(BZ18*R25)</f>
        <v>0</v>
      </c>
      <c r="CA25" s="282">
        <f t="shared" si="116"/>
        <v>0</v>
      </c>
      <c r="CB25" s="74"/>
      <c r="CC25" s="73">
        <f>SUM(CC18*S25)</f>
        <v>0</v>
      </c>
      <c r="CD25" s="73">
        <f>SUM(CD18*S25)</f>
        <v>0</v>
      </c>
      <c r="CE25" s="73">
        <f>SUM(CE18*S25)</f>
        <v>0</v>
      </c>
      <c r="CF25" s="282">
        <f t="shared" si="117"/>
        <v>0</v>
      </c>
      <c r="CG25" s="88"/>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57" t="s">
        <v>196</v>
      </c>
      <c r="B26" s="278">
        <v>0.01</v>
      </c>
      <c r="C26" s="304">
        <v>0.02</v>
      </c>
      <c r="D26" s="379">
        <v>0</v>
      </c>
      <c r="E26" s="466">
        <v>0</v>
      </c>
      <c r="F26" s="129">
        <v>0</v>
      </c>
      <c r="G26" s="128">
        <v>0</v>
      </c>
      <c r="H26" s="360">
        <v>0</v>
      </c>
      <c r="I26" s="360">
        <v>0</v>
      </c>
      <c r="J26" s="282">
        <f t="shared" si="133"/>
        <v>0</v>
      </c>
      <c r="K26" s="33">
        <f>SUM(IF((0*(IF(ISBLANK(E26),C26,E26)))+IF(ISBLANK(D26),B26,D26) &lt; 0, 0, (0*(IF(ISBLANK(E26),C26,E26)))+IF(ISBLANK(D26),B26,D26)))</f>
        <v>0</v>
      </c>
      <c r="L26" s="33">
        <f>SUM(IF((1*(IF(ISBLANK(E26),C26,E26)))+IF(ISBLANK(D26),B26,D26) &lt; 0, 0, (1*(IF(ISBLANK(E26),C26,E26)))+IF(ISBLANK(D26),B26,D26)))</f>
        <v>0</v>
      </c>
      <c r="M26" s="33">
        <f>SUM(IF((2*(IF(ISBLANK(E26),C26,E26)))+IF(ISBLANK(D26),B26,D26) &lt; 0, 0, (2*(IF(ISBLANK(E26),C26,E26)))+IF(ISBLANK(D26),B26,D26)))</f>
        <v>0</v>
      </c>
      <c r="N26" s="33">
        <f>SUM(IF((3*(IF(ISBLANK(E26),C26,E26)))+IF(ISBLANK(D26),B26,D26) &lt; 0, 0, (3*(IF(ISBLANK(E26),C26,E26)))+IF(ISBLANK(D26),B26,D26)))</f>
        <v>0</v>
      </c>
      <c r="O26" s="282">
        <f t="shared" si="124"/>
        <v>0</v>
      </c>
      <c r="P26" s="33">
        <f>SUM(IF((4*(IF(ISBLANK(E26),C26,E26)))+IF(ISBLANK(D26),B26,D26) &lt; 0, 0, (4*(IF(ISBLANK(E26),C26,E26)))+IF(ISBLANK(D26),B26,D26)))</f>
        <v>0</v>
      </c>
      <c r="Q26" s="33">
        <f>SUM(IF((5*(IF(ISBLANK(E26),C26,E26)))+IF(ISBLANK(D26),B26,D26) &lt; 0, 0, (5*(IF(ISBLANK(E26),C26,E26)))+IF(ISBLANK(D26),B26,D26)))</f>
        <v>0</v>
      </c>
      <c r="R26" s="33">
        <f>SUM(IF((6*(IF(ISBLANK(E26),C26,E26)))+IF(ISBLANK(D26),B26,D26) &lt; 0, 0, (6*(IF(ISBLANK(E26),C26,E26)))+IF(ISBLANK(D26),B26,D26)))</f>
        <v>0</v>
      </c>
      <c r="S26" s="33">
        <f>SUM(IF((7*(IF(ISBLANK(E26),C26,E26)))+IF(ISBLANK(D26),B26,D26) &lt; 0, 0, (7*(IF(ISBLANK(E26),C26,E26)))+IF(ISBLANK(D26),B26,D26)))</f>
        <v>0</v>
      </c>
      <c r="T26" s="305">
        <f t="shared" si="129"/>
        <v>0</v>
      </c>
      <c r="U26" s="278">
        <f>SUM(IF((9*(IF(ISBLANK(E26),C26,E26)))+IF(ISBLANK(D26),B26,D26) &lt; 0, 0, (9*(IF(ISBLANK(E26),C26,E26)))+IF(ISBLANK(D26),B26,D26)))*12</f>
        <v>0</v>
      </c>
      <c r="V26" s="279">
        <f>SUM(IF((11*(IF(ISBLANK(E26),C26,E26)))+IF(ISBLANK(D26),B26,D26) &lt; 0, 0, (11*(IF(ISBLANK(E26),C26,E26)))+IF(ISBLANK(D26),B26,D26)))*12</f>
        <v>0</v>
      </c>
      <c r="W26" s="280">
        <f>SUM(IF((13*(IF(ISBLANK(E26),C26,E26)))+IF(ISBLANK(D26),B26,D26) &lt; 0, 0, (13*(IF(ISBLANK(E26),C26,E26)))+IF(ISBLANK(D26),B26,D26)))*12</f>
        <v>0</v>
      </c>
      <c r="X26" s="177"/>
      <c r="Y26" s="505">
        <v>0</v>
      </c>
      <c r="Z26" s="73">
        <f>SUM(Z18*F26)</f>
        <v>0</v>
      </c>
      <c r="AA26" s="73">
        <f>SUM(AA18*F26)</f>
        <v>0</v>
      </c>
      <c r="AB26" s="73">
        <f>SUM(AB18*F26)</f>
        <v>0</v>
      </c>
      <c r="AC26" s="282">
        <f t="shared" si="106"/>
        <v>0</v>
      </c>
      <c r="AD26" s="74"/>
      <c r="AE26" s="73">
        <f>SUM(AE18*G26)</f>
        <v>0</v>
      </c>
      <c r="AF26" s="73">
        <f>SUM(AF18*G26)</f>
        <v>0</v>
      </c>
      <c r="AG26" s="73">
        <f>SUM(AG18*G26)</f>
        <v>0</v>
      </c>
      <c r="AH26" s="282">
        <f t="shared" si="107"/>
        <v>0</v>
      </c>
      <c r="AI26" s="74"/>
      <c r="AJ26" s="73">
        <f t="shared" si="130"/>
        <v>0</v>
      </c>
      <c r="AK26" s="73">
        <f t="shared" si="131"/>
        <v>0</v>
      </c>
      <c r="AL26" s="73">
        <f t="shared" si="132"/>
        <v>0</v>
      </c>
      <c r="AM26" s="282">
        <f t="shared" si="108"/>
        <v>0</v>
      </c>
      <c r="AN26" s="74"/>
      <c r="AO26" s="73">
        <f>SUM(AO18*I26)</f>
        <v>0</v>
      </c>
      <c r="AP26" s="73">
        <f>SUM(AP18*I26)</f>
        <v>0</v>
      </c>
      <c r="AQ26" s="73">
        <f>SUM(AQ18*I26)</f>
        <v>0</v>
      </c>
      <c r="AR26" s="282">
        <f t="shared" si="109"/>
        <v>0</v>
      </c>
      <c r="AS26" s="74"/>
      <c r="AT26" s="73">
        <f>SUM(AT18*K26)</f>
        <v>0</v>
      </c>
      <c r="AU26" s="73">
        <f>SUM(AU18*K26)</f>
        <v>0</v>
      </c>
      <c r="AV26" s="73">
        <f>SUM(AV18*K26)</f>
        <v>0</v>
      </c>
      <c r="AW26" s="282">
        <f t="shared" si="110"/>
        <v>0</v>
      </c>
      <c r="AX26" s="74"/>
      <c r="AY26" s="73">
        <f>SUM(AY18*L26)</f>
        <v>0</v>
      </c>
      <c r="AZ26" s="73">
        <f>SUM(AZ18*L26)</f>
        <v>0</v>
      </c>
      <c r="BA26" s="73">
        <f>SUM(BA18*L26)</f>
        <v>0</v>
      </c>
      <c r="BB26" s="282">
        <f t="shared" si="111"/>
        <v>0</v>
      </c>
      <c r="BC26" s="74"/>
      <c r="BD26" s="73">
        <f>SUM(BD18*M26)</f>
        <v>0</v>
      </c>
      <c r="BE26" s="73">
        <f>SUM(BE18*M26)</f>
        <v>0</v>
      </c>
      <c r="BF26" s="73">
        <f>SUM(BF18*M26)</f>
        <v>0</v>
      </c>
      <c r="BG26" s="282">
        <f t="shared" si="112"/>
        <v>0</v>
      </c>
      <c r="BH26" s="74"/>
      <c r="BI26" s="73">
        <f>SUM(BI18*N26)</f>
        <v>0</v>
      </c>
      <c r="BJ26" s="73">
        <f>SUM(BJ18*N26)</f>
        <v>0</v>
      </c>
      <c r="BK26" s="73">
        <f>SUM(BK18*N26)</f>
        <v>0</v>
      </c>
      <c r="BL26" s="282">
        <f t="shared" si="113"/>
        <v>0</v>
      </c>
      <c r="BM26" s="74"/>
      <c r="BN26" s="73">
        <f>SUM(BN18*P26)</f>
        <v>0</v>
      </c>
      <c r="BO26" s="73">
        <f>SUM(BO18*P26)</f>
        <v>0</v>
      </c>
      <c r="BP26" s="73">
        <f>SUM(BP18*P26)</f>
        <v>0</v>
      </c>
      <c r="BQ26" s="282">
        <f t="shared" si="114"/>
        <v>0</v>
      </c>
      <c r="BR26" s="74"/>
      <c r="BS26" s="73">
        <f>SUM(BS18*Q26)</f>
        <v>0</v>
      </c>
      <c r="BT26" s="73">
        <f>SUM(BT18*Q26)</f>
        <v>0</v>
      </c>
      <c r="BU26" s="73">
        <f>SUM(BU18*Q26)</f>
        <v>0</v>
      </c>
      <c r="BV26" s="282">
        <f t="shared" si="115"/>
        <v>0</v>
      </c>
      <c r="BW26" s="74"/>
      <c r="BX26" s="73">
        <f>SUM(BX18*R26)</f>
        <v>0</v>
      </c>
      <c r="BY26" s="73">
        <f>SUM(BY18*R26)</f>
        <v>0</v>
      </c>
      <c r="BZ26" s="73">
        <f>SUM(BZ18*R26)</f>
        <v>0</v>
      </c>
      <c r="CA26" s="282">
        <f t="shared" si="116"/>
        <v>0</v>
      </c>
      <c r="CB26" s="74"/>
      <c r="CC26" s="73">
        <f>SUM(CC18*S26)</f>
        <v>0</v>
      </c>
      <c r="CD26" s="73">
        <f>SUM(CD18*S26)</f>
        <v>0</v>
      </c>
      <c r="CE26" s="73">
        <f>SUM(CE18*S26)</f>
        <v>0</v>
      </c>
      <c r="CF26" s="282">
        <f t="shared" si="117"/>
        <v>0</v>
      </c>
      <c r="CG26" s="88"/>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57" t="s">
        <v>197</v>
      </c>
      <c r="B27" s="278">
        <v>0</v>
      </c>
      <c r="C27" s="304">
        <v>0</v>
      </c>
      <c r="D27" s="475"/>
      <c r="E27" s="476"/>
      <c r="F27" s="129">
        <v>0</v>
      </c>
      <c r="G27" s="128">
        <v>0</v>
      </c>
      <c r="H27" s="360">
        <v>0</v>
      </c>
      <c r="I27" s="360">
        <v>0</v>
      </c>
      <c r="J27" s="282">
        <f t="shared" si="133"/>
        <v>0</v>
      </c>
      <c r="K27" s="360">
        <v>0</v>
      </c>
      <c r="L27" s="360">
        <v>0</v>
      </c>
      <c r="M27" s="360">
        <v>0</v>
      </c>
      <c r="N27" s="360">
        <v>0</v>
      </c>
      <c r="O27" s="282">
        <f t="shared" si="12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05">
        <f t="shared" si="129"/>
        <v>0</v>
      </c>
      <c r="U27" s="278">
        <f>SUM(IF((5*(IF(ISBLANK(E27),C27,E27)))+IF(ISBLANK(D27),B27,D27) &lt; 0, 0, (5*(IF(ISBLANK(E27),C27,E27)))+IF(ISBLANK(D27),B27,D27)))*12</f>
        <v>0</v>
      </c>
      <c r="V27" s="279">
        <f>SUM(IF((7*(IF(ISBLANK(E27),C27,E27)))+IF(ISBLANK(D27),B27,D27) &lt; 0, 0, (7*(IF(ISBLANK(E27),C27,E27)))+IF(ISBLANK(D27),B27,D27)))*12</f>
        <v>0</v>
      </c>
      <c r="W27" s="280">
        <f>SUM(IF((9*(IF(ISBLANK(E27),C27,E27)))+IF(ISBLANK(D27),B27,D27) &lt; 0, 0, (9*(IF(ISBLANK(E27),C27,E27)))+IF(ISBLANK(D27),B27,D27)))*12</f>
        <v>0</v>
      </c>
      <c r="X27" s="177"/>
      <c r="Y27" s="505">
        <v>0</v>
      </c>
      <c r="Z27" s="73">
        <f>SUM(Z18*F27)</f>
        <v>0</v>
      </c>
      <c r="AA27" s="73">
        <f>SUM(AA18*F27)</f>
        <v>0</v>
      </c>
      <c r="AB27" s="73">
        <f>SUM(AB18*F27)</f>
        <v>0</v>
      </c>
      <c r="AC27" s="282">
        <f t="shared" si="106"/>
        <v>0</v>
      </c>
      <c r="AD27" s="74"/>
      <c r="AE27" s="73">
        <f>SUM(AE18*G27)</f>
        <v>0</v>
      </c>
      <c r="AF27" s="73">
        <f>SUM(AF18*G27)</f>
        <v>0</v>
      </c>
      <c r="AG27" s="73">
        <f>SUM(AG18*G27)</f>
        <v>0</v>
      </c>
      <c r="AH27" s="282">
        <f t="shared" si="107"/>
        <v>0</v>
      </c>
      <c r="AI27" s="74"/>
      <c r="AJ27" s="73">
        <f t="shared" si="130"/>
        <v>0</v>
      </c>
      <c r="AK27" s="73">
        <f t="shared" si="131"/>
        <v>0</v>
      </c>
      <c r="AL27" s="73">
        <f t="shared" si="132"/>
        <v>0</v>
      </c>
      <c r="AM27" s="282">
        <f t="shared" si="108"/>
        <v>0</v>
      </c>
      <c r="AN27" s="74"/>
      <c r="AO27" s="73">
        <f>SUM(AO18*I27)</f>
        <v>0</v>
      </c>
      <c r="AP27" s="73">
        <f>SUM(AP18*I27)</f>
        <v>0</v>
      </c>
      <c r="AQ27" s="73">
        <f>SUM(AQ18*I27)</f>
        <v>0</v>
      </c>
      <c r="AR27" s="282">
        <f t="shared" si="109"/>
        <v>0</v>
      </c>
      <c r="AS27" s="74"/>
      <c r="AT27" s="73">
        <f>SUM(AT18*K27)</f>
        <v>0</v>
      </c>
      <c r="AU27" s="73">
        <f>SUM(AU18*K27)</f>
        <v>0</v>
      </c>
      <c r="AV27" s="73">
        <f>SUM(AV18*K27)</f>
        <v>0</v>
      </c>
      <c r="AW27" s="282">
        <f t="shared" si="110"/>
        <v>0</v>
      </c>
      <c r="AX27" s="74"/>
      <c r="AY27" s="73">
        <f>SUM(AY18*L27)</f>
        <v>0</v>
      </c>
      <c r="AZ27" s="73">
        <f>SUM(AZ18*L27)</f>
        <v>0</v>
      </c>
      <c r="BA27" s="73">
        <f>SUM(BA18*L27)</f>
        <v>0</v>
      </c>
      <c r="BB27" s="282">
        <f t="shared" si="111"/>
        <v>0</v>
      </c>
      <c r="BC27" s="74"/>
      <c r="BD27" s="73">
        <f>SUM(BD18*M27)</f>
        <v>0</v>
      </c>
      <c r="BE27" s="73">
        <f>SUM(BE18*M27)</f>
        <v>0</v>
      </c>
      <c r="BF27" s="73">
        <f>SUM(BF18*M27)</f>
        <v>0</v>
      </c>
      <c r="BG27" s="282">
        <f t="shared" si="112"/>
        <v>0</v>
      </c>
      <c r="BH27" s="74"/>
      <c r="BI27" s="73">
        <f>SUM(BI18*N27)</f>
        <v>0</v>
      </c>
      <c r="BJ27" s="73">
        <f>SUM(BJ18*N27)</f>
        <v>0</v>
      </c>
      <c r="BK27" s="73">
        <f>SUM(BK18*N27)</f>
        <v>0</v>
      </c>
      <c r="BL27" s="282">
        <f t="shared" si="113"/>
        <v>0</v>
      </c>
      <c r="BM27" s="74"/>
      <c r="BN27" s="73">
        <f>SUM(BN18*P27)</f>
        <v>0</v>
      </c>
      <c r="BO27" s="73">
        <f>SUM(BO18*P27)</f>
        <v>0</v>
      </c>
      <c r="BP27" s="73">
        <f>SUM(BP18*P27)</f>
        <v>0</v>
      </c>
      <c r="BQ27" s="282">
        <f t="shared" si="114"/>
        <v>0</v>
      </c>
      <c r="BR27" s="74"/>
      <c r="BS27" s="73">
        <f>SUM(BS18*Q27)</f>
        <v>0</v>
      </c>
      <c r="BT27" s="73">
        <f>SUM(BT18*Q27)</f>
        <v>0</v>
      </c>
      <c r="BU27" s="73">
        <f>SUM(BU18*Q27)</f>
        <v>0</v>
      </c>
      <c r="BV27" s="282">
        <f t="shared" si="115"/>
        <v>0</v>
      </c>
      <c r="BW27" s="74"/>
      <c r="BX27" s="73">
        <f>SUM(BX18*R27)</f>
        <v>0</v>
      </c>
      <c r="BY27" s="73">
        <f>SUM(BY18*R27)</f>
        <v>0</v>
      </c>
      <c r="BZ27" s="73">
        <f>SUM(BZ18*R27)</f>
        <v>0</v>
      </c>
      <c r="CA27" s="282">
        <f t="shared" si="116"/>
        <v>0</v>
      </c>
      <c r="CB27" s="74"/>
      <c r="CC27" s="73">
        <f>SUM(CC18*S27)</f>
        <v>0</v>
      </c>
      <c r="CD27" s="73">
        <f>SUM(CD18*S27)</f>
        <v>0</v>
      </c>
      <c r="CE27" s="73">
        <f>SUM(CE18*S27)</f>
        <v>0</v>
      </c>
      <c r="CF27" s="282">
        <f t="shared" si="117"/>
        <v>0</v>
      </c>
      <c r="CG27" s="88"/>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57" t="s">
        <v>198</v>
      </c>
      <c r="B28" s="278">
        <v>0</v>
      </c>
      <c r="C28" s="304">
        <v>0</v>
      </c>
      <c r="D28" s="475"/>
      <c r="E28" s="476"/>
      <c r="F28" s="129">
        <v>0</v>
      </c>
      <c r="G28" s="128">
        <v>0</v>
      </c>
      <c r="H28" s="360">
        <v>0</v>
      </c>
      <c r="I28" s="360">
        <v>0</v>
      </c>
      <c r="J28" s="282">
        <f t="shared" si="133"/>
        <v>0</v>
      </c>
      <c r="K28" s="360">
        <v>0</v>
      </c>
      <c r="L28" s="360">
        <v>0</v>
      </c>
      <c r="M28" s="360">
        <v>0</v>
      </c>
      <c r="N28" s="360">
        <v>0</v>
      </c>
      <c r="O28" s="282">
        <f t="shared" si="12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05">
        <f t="shared" si="129"/>
        <v>0</v>
      </c>
      <c r="U28" s="278">
        <f>SUM(IF((6*(IF(ISBLANK(E28),C28,E28)))+IF(ISBLANK(D28),B28,D28) &lt; 0, 0, (6*(IF(ISBLANK(E28),C28,E28)))+IF(ISBLANK(D28),B28,D28)))*12</f>
        <v>0</v>
      </c>
      <c r="V28" s="279">
        <f>SUM(IF((8*(IF(ISBLANK(E28),C28,E28)))+IF(ISBLANK(D28),B28,D28) &lt; 0, 0, (8*(IF(ISBLANK(E28),C28,E28)))+IF(ISBLANK(D28),B28,D28)))*12</f>
        <v>0</v>
      </c>
      <c r="W28" s="280">
        <f>SUM(IF((10*(IF(ISBLANK(E28),C28,E28)))+IF(ISBLANK(D28),B28,D28) &lt; 0, 0, (10*(IF(ISBLANK(E28),C28,E28)))+IF(ISBLANK(D28),B28,D28)))*12</f>
        <v>0</v>
      </c>
      <c r="X28" s="177"/>
      <c r="Y28" s="505">
        <v>0</v>
      </c>
      <c r="Z28" s="73">
        <f>SUM(Z18*F28)</f>
        <v>0</v>
      </c>
      <c r="AA28" s="73">
        <f>SUM(AA18*F28)</f>
        <v>0</v>
      </c>
      <c r="AB28" s="73">
        <f>SUM(AB18*F28)</f>
        <v>0</v>
      </c>
      <c r="AC28" s="282">
        <f t="shared" si="106"/>
        <v>0</v>
      </c>
      <c r="AD28" s="74"/>
      <c r="AE28" s="73">
        <f>SUM(AE18*G28)</f>
        <v>0</v>
      </c>
      <c r="AF28" s="73">
        <f>SUM(AF18*G28)</f>
        <v>0</v>
      </c>
      <c r="AG28" s="73">
        <f>SUM(AG18*G28)</f>
        <v>0</v>
      </c>
      <c r="AH28" s="282">
        <f t="shared" si="107"/>
        <v>0</v>
      </c>
      <c r="AI28" s="74"/>
      <c r="AJ28" s="73">
        <f t="shared" si="130"/>
        <v>0</v>
      </c>
      <c r="AK28" s="73">
        <f t="shared" si="131"/>
        <v>0</v>
      </c>
      <c r="AL28" s="73">
        <f t="shared" si="132"/>
        <v>0</v>
      </c>
      <c r="AM28" s="282">
        <f t="shared" si="108"/>
        <v>0</v>
      </c>
      <c r="AN28" s="74"/>
      <c r="AO28" s="73">
        <f>SUM(AO18*I28)</f>
        <v>0</v>
      </c>
      <c r="AP28" s="73">
        <f>SUM(AP18*I28)</f>
        <v>0</v>
      </c>
      <c r="AQ28" s="73">
        <f>SUM(AQ18*I28)</f>
        <v>0</v>
      </c>
      <c r="AR28" s="282">
        <f t="shared" si="109"/>
        <v>0</v>
      </c>
      <c r="AS28" s="74"/>
      <c r="AT28" s="73">
        <f>SUM(AT18*K28)</f>
        <v>0</v>
      </c>
      <c r="AU28" s="73">
        <f>SUM(AU18*K28)</f>
        <v>0</v>
      </c>
      <c r="AV28" s="73">
        <f>SUM(AV18*K28)</f>
        <v>0</v>
      </c>
      <c r="AW28" s="282">
        <f t="shared" si="110"/>
        <v>0</v>
      </c>
      <c r="AX28" s="74"/>
      <c r="AY28" s="73">
        <f>SUM(AY18*L28)</f>
        <v>0</v>
      </c>
      <c r="AZ28" s="73">
        <f>SUM(AZ18*L28)</f>
        <v>0</v>
      </c>
      <c r="BA28" s="73">
        <f>SUM(BA18*L28)</f>
        <v>0</v>
      </c>
      <c r="BB28" s="282">
        <f t="shared" si="111"/>
        <v>0</v>
      </c>
      <c r="BC28" s="74"/>
      <c r="BD28" s="73">
        <f>SUM(BD18*M28)</f>
        <v>0</v>
      </c>
      <c r="BE28" s="73">
        <f>SUM(BE18*M28)</f>
        <v>0</v>
      </c>
      <c r="BF28" s="73">
        <f>SUM(BF18*M28)</f>
        <v>0</v>
      </c>
      <c r="BG28" s="282">
        <f t="shared" si="112"/>
        <v>0</v>
      </c>
      <c r="BH28" s="74"/>
      <c r="BI28" s="73">
        <f>SUM(BI18*N28)</f>
        <v>0</v>
      </c>
      <c r="BJ28" s="73">
        <f>SUM(BJ18*N28)</f>
        <v>0</v>
      </c>
      <c r="BK28" s="73">
        <f>SUM(BK18*N28)</f>
        <v>0</v>
      </c>
      <c r="BL28" s="282">
        <f t="shared" si="113"/>
        <v>0</v>
      </c>
      <c r="BM28" s="74"/>
      <c r="BN28" s="73">
        <f>SUM(BN18*P28)</f>
        <v>0</v>
      </c>
      <c r="BO28" s="73">
        <f>SUM(BO18*P28)</f>
        <v>0</v>
      </c>
      <c r="BP28" s="73">
        <f>SUM(BP18*P28)</f>
        <v>0</v>
      </c>
      <c r="BQ28" s="282">
        <f t="shared" si="114"/>
        <v>0</v>
      </c>
      <c r="BR28" s="74"/>
      <c r="BS28" s="73">
        <f>SUM(BS18*Q28)</f>
        <v>0</v>
      </c>
      <c r="BT28" s="73">
        <f>SUM(BT18*Q28)</f>
        <v>0</v>
      </c>
      <c r="BU28" s="73">
        <f>SUM(BU18*Q28)</f>
        <v>0</v>
      </c>
      <c r="BV28" s="282">
        <f t="shared" si="115"/>
        <v>0</v>
      </c>
      <c r="BW28" s="74"/>
      <c r="BX28" s="73">
        <f>SUM(BX18*R28)</f>
        <v>0</v>
      </c>
      <c r="BY28" s="73">
        <f>SUM(BY18*R28)</f>
        <v>0</v>
      </c>
      <c r="BZ28" s="73">
        <f>SUM(BZ18*R28)</f>
        <v>0</v>
      </c>
      <c r="CA28" s="282">
        <f t="shared" si="116"/>
        <v>0</v>
      </c>
      <c r="CB28" s="74"/>
      <c r="CC28" s="73">
        <f>SUM(CC18*S28)</f>
        <v>0</v>
      </c>
      <c r="CD28" s="73">
        <f>SUM(CD18*S28)</f>
        <v>0</v>
      </c>
      <c r="CE28" s="73">
        <f>SUM(CE18*S28)</f>
        <v>0</v>
      </c>
      <c r="CF28" s="282">
        <f t="shared" si="117"/>
        <v>0</v>
      </c>
      <c r="CG28" s="88"/>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58" t="s">
        <v>199</v>
      </c>
      <c r="B29" s="645" t="s">
        <v>209</v>
      </c>
      <c r="C29" s="646"/>
      <c r="D29" s="645" t="s">
        <v>209</v>
      </c>
      <c r="E29" s="646"/>
      <c r="F29" s="130">
        <v>0</v>
      </c>
      <c r="G29" s="131">
        <v>0</v>
      </c>
      <c r="H29" s="131">
        <v>0</v>
      </c>
      <c r="I29" s="131">
        <v>0</v>
      </c>
      <c r="J29" s="282">
        <f t="shared" si="133"/>
        <v>0</v>
      </c>
      <c r="K29" s="131">
        <v>0</v>
      </c>
      <c r="L29" s="131">
        <v>0</v>
      </c>
      <c r="M29" s="131">
        <v>0</v>
      </c>
      <c r="N29" s="131">
        <v>0</v>
      </c>
      <c r="O29" s="282">
        <f t="shared" si="124"/>
        <v>0</v>
      </c>
      <c r="P29" s="131">
        <v>0</v>
      </c>
      <c r="Q29" s="131">
        <v>0</v>
      </c>
      <c r="R29" s="131">
        <v>0</v>
      </c>
      <c r="S29" s="131">
        <v>0</v>
      </c>
      <c r="T29" s="305">
        <f t="shared" si="129"/>
        <v>0</v>
      </c>
      <c r="U29" s="355">
        <v>0</v>
      </c>
      <c r="V29" s="356">
        <v>0</v>
      </c>
      <c r="W29" s="357">
        <v>0</v>
      </c>
      <c r="X29" s="177"/>
      <c r="Y29" s="505">
        <v>0</v>
      </c>
      <c r="Z29" s="73">
        <f>SUM(F29/3)</f>
        <v>0</v>
      </c>
      <c r="AA29" s="73">
        <f>SUM(F29/3)</f>
        <v>0</v>
      </c>
      <c r="AB29" s="73">
        <f>SUM(F29/3)</f>
        <v>0</v>
      </c>
      <c r="AC29" s="282">
        <f t="shared" si="106"/>
        <v>0</v>
      </c>
      <c r="AD29" s="74"/>
      <c r="AE29" s="73">
        <f>SUM(G29/3)</f>
        <v>0</v>
      </c>
      <c r="AF29" s="73">
        <f>SUM(G29/3)</f>
        <v>0</v>
      </c>
      <c r="AG29" s="73">
        <f>SUM(G29/3)</f>
        <v>0</v>
      </c>
      <c r="AH29" s="282">
        <f t="shared" si="107"/>
        <v>0</v>
      </c>
      <c r="AI29" s="74"/>
      <c r="AJ29" s="73">
        <f>SUM(H29/3)</f>
        <v>0</v>
      </c>
      <c r="AK29" s="73">
        <f>SUM(H29/3)</f>
        <v>0</v>
      </c>
      <c r="AL29" s="73">
        <f>SUM(H29/3)</f>
        <v>0</v>
      </c>
      <c r="AM29" s="282">
        <f t="shared" si="108"/>
        <v>0</v>
      </c>
      <c r="AN29" s="74"/>
      <c r="AO29" s="73">
        <f>SUM(I29/3)</f>
        <v>0</v>
      </c>
      <c r="AP29" s="73">
        <f>SUM(I29/3)</f>
        <v>0</v>
      </c>
      <c r="AQ29" s="73">
        <f>SUM(I29/3)</f>
        <v>0</v>
      </c>
      <c r="AR29" s="282">
        <f t="shared" si="109"/>
        <v>0</v>
      </c>
      <c r="AS29" s="74"/>
      <c r="AT29" s="73">
        <f>SUM(K29/3)</f>
        <v>0</v>
      </c>
      <c r="AU29" s="73">
        <f>SUM(K29/3)</f>
        <v>0</v>
      </c>
      <c r="AV29" s="73">
        <f>SUM(K29/3)</f>
        <v>0</v>
      </c>
      <c r="AW29" s="282">
        <f t="shared" si="110"/>
        <v>0</v>
      </c>
      <c r="AX29" s="74"/>
      <c r="AY29" s="73">
        <f>SUM(L29/3)</f>
        <v>0</v>
      </c>
      <c r="AZ29" s="73">
        <f>SUM(L29/3)</f>
        <v>0</v>
      </c>
      <c r="BA29" s="73">
        <f>SUM(L29/3)</f>
        <v>0</v>
      </c>
      <c r="BB29" s="282">
        <f t="shared" si="111"/>
        <v>0</v>
      </c>
      <c r="BC29" s="74"/>
      <c r="BD29" s="73">
        <f>SUM(M29/3)</f>
        <v>0</v>
      </c>
      <c r="BE29" s="73">
        <f>SUM(M29/3)</f>
        <v>0</v>
      </c>
      <c r="BF29" s="73">
        <f>SUM(M29/3)</f>
        <v>0</v>
      </c>
      <c r="BG29" s="282">
        <f t="shared" si="112"/>
        <v>0</v>
      </c>
      <c r="BH29" s="74"/>
      <c r="BI29" s="73">
        <f>SUM(N29/3)</f>
        <v>0</v>
      </c>
      <c r="BJ29" s="73">
        <f>SUM(N29/3)</f>
        <v>0</v>
      </c>
      <c r="BK29" s="73">
        <f>SUM(N29/3)</f>
        <v>0</v>
      </c>
      <c r="BL29" s="282">
        <f t="shared" si="113"/>
        <v>0</v>
      </c>
      <c r="BM29" s="74"/>
      <c r="BN29" s="73">
        <f>SUM(P29/3)</f>
        <v>0</v>
      </c>
      <c r="BO29" s="73">
        <f>SUM(P29/3)</f>
        <v>0</v>
      </c>
      <c r="BP29" s="73">
        <f>SUM(P29/3)</f>
        <v>0</v>
      </c>
      <c r="BQ29" s="282">
        <f t="shared" si="114"/>
        <v>0</v>
      </c>
      <c r="BR29" s="74"/>
      <c r="BS29" s="73">
        <f>SUM(Q29/3)</f>
        <v>0</v>
      </c>
      <c r="BT29" s="73">
        <f>SUM(Q29/3)</f>
        <v>0</v>
      </c>
      <c r="BU29" s="73">
        <f>SUM(Q29/3)</f>
        <v>0</v>
      </c>
      <c r="BV29" s="282">
        <f t="shared" si="115"/>
        <v>0</v>
      </c>
      <c r="BW29" s="74"/>
      <c r="BX29" s="73">
        <f>SUM(R29/3)</f>
        <v>0</v>
      </c>
      <c r="BY29" s="73">
        <f>SUM(R29/3)</f>
        <v>0</v>
      </c>
      <c r="BZ29" s="73">
        <f>SUM(R29/3)</f>
        <v>0</v>
      </c>
      <c r="CA29" s="282">
        <f t="shared" si="116"/>
        <v>0</v>
      </c>
      <c r="CB29" s="74"/>
      <c r="CC29" s="73">
        <f>SUM(S29/3)</f>
        <v>0</v>
      </c>
      <c r="CD29" s="73">
        <f>SUM(S29/3)</f>
        <v>0</v>
      </c>
      <c r="CE29" s="73">
        <f>SUM(S29/3)</f>
        <v>0</v>
      </c>
      <c r="CF29" s="282">
        <f t="shared" si="117"/>
        <v>0</v>
      </c>
      <c r="CG29" s="88"/>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59" t="s">
        <v>200</v>
      </c>
      <c r="B30" s="321"/>
      <c r="C30" s="322"/>
      <c r="D30" s="202"/>
      <c r="E30" s="203"/>
      <c r="F30" s="101">
        <f>AC30</f>
        <v>0</v>
      </c>
      <c r="G30" s="75">
        <f>AH30</f>
        <v>0</v>
      </c>
      <c r="H30" s="75">
        <f>AM30</f>
        <v>0</v>
      </c>
      <c r="I30" s="75">
        <f>AR30</f>
        <v>0</v>
      </c>
      <c r="J30" s="72">
        <f>SUM(F30:I30)</f>
        <v>0</v>
      </c>
      <c r="K30" s="75">
        <f>AW30</f>
        <v>0</v>
      </c>
      <c r="L30" s="75">
        <f>BB30</f>
        <v>0</v>
      </c>
      <c r="M30" s="75">
        <f>BG30</f>
        <v>0</v>
      </c>
      <c r="N30" s="75">
        <f>BL30</f>
        <v>0</v>
      </c>
      <c r="O30" s="72">
        <f>SUM(K30:N30)</f>
        <v>0</v>
      </c>
      <c r="P30" s="75">
        <f>BQ30</f>
        <v>0</v>
      </c>
      <c r="Q30" s="75">
        <f>BV30</f>
        <v>0</v>
      </c>
      <c r="R30" s="75">
        <f>CA30</f>
        <v>0</v>
      </c>
      <c r="S30" s="75">
        <f>CF30</f>
        <v>0</v>
      </c>
      <c r="T30" s="158">
        <f>SUM(P30:S30)</f>
        <v>0</v>
      </c>
      <c r="U30" s="162">
        <f>SUM(((S18+U18)/2)*(U21+U22+U23+U24+U25+U26+U27+U28))</f>
        <v>0</v>
      </c>
      <c r="V30" s="72">
        <f>SUM(((U18+V18)/2)*(V21+V22+V23+V24+V25+V26+V27+V28))</f>
        <v>0</v>
      </c>
      <c r="W30" s="89">
        <f>SUM(((V18+W18)/2)*(W21+W22+W23+W24+W25+W26+W27+W28))</f>
        <v>0</v>
      </c>
      <c r="X30" s="178"/>
      <c r="Y30" s="509">
        <v>0</v>
      </c>
      <c r="Z30" s="75">
        <f>SUM(Z21:Z29)</f>
        <v>0</v>
      </c>
      <c r="AA30" s="75">
        <f>SUM(AA21:AA29)</f>
        <v>0</v>
      </c>
      <c r="AB30" s="75">
        <f>SUM(AB21:AB29)</f>
        <v>0</v>
      </c>
      <c r="AC30" s="72">
        <f>SUM(Z30:AB30)</f>
        <v>0</v>
      </c>
      <c r="AD30" s="72"/>
      <c r="AE30" s="75">
        <f>SUM(AE21:AE29)</f>
        <v>0</v>
      </c>
      <c r="AF30" s="75">
        <f>SUM(AF21:AF29)</f>
        <v>0</v>
      </c>
      <c r="AG30" s="75">
        <f>SUM(AG21:AG29)</f>
        <v>0</v>
      </c>
      <c r="AH30" s="72">
        <f>SUM(AE30:AG30)</f>
        <v>0</v>
      </c>
      <c r="AI30" s="72"/>
      <c r="AJ30" s="75">
        <f>SUM(AJ21:AJ29)</f>
        <v>0</v>
      </c>
      <c r="AK30" s="75">
        <f>SUM(AK21:AK29)</f>
        <v>0</v>
      </c>
      <c r="AL30" s="75">
        <f>SUM(AL21:AL29)</f>
        <v>0</v>
      </c>
      <c r="AM30" s="72">
        <f>SUM(AJ30:AL30)</f>
        <v>0</v>
      </c>
      <c r="AN30" s="72"/>
      <c r="AO30" s="75">
        <f>SUM(AO21:AO29)</f>
        <v>0</v>
      </c>
      <c r="AP30" s="75">
        <f>SUM(AP21:AP29)</f>
        <v>0</v>
      </c>
      <c r="AQ30" s="75">
        <f>SUM(AQ21:AQ29)</f>
        <v>0</v>
      </c>
      <c r="AR30" s="72">
        <f>SUM(AO30:AQ30)</f>
        <v>0</v>
      </c>
      <c r="AS30" s="72"/>
      <c r="AT30" s="75">
        <f>SUM(AT21:AT29)</f>
        <v>0</v>
      </c>
      <c r="AU30" s="75">
        <f>SUM(AU21:AU29)</f>
        <v>0</v>
      </c>
      <c r="AV30" s="75">
        <f>SUM(AV21:AV29)</f>
        <v>0</v>
      </c>
      <c r="AW30" s="72">
        <f>SUM(AT30:AV30)</f>
        <v>0</v>
      </c>
      <c r="AX30" s="72"/>
      <c r="AY30" s="75">
        <f>SUM(AY21:AY29)</f>
        <v>0</v>
      </c>
      <c r="AZ30" s="75">
        <f>SUM(AZ21:AZ29)</f>
        <v>0</v>
      </c>
      <c r="BA30" s="75">
        <f>SUM(BA21:BA29)</f>
        <v>0</v>
      </c>
      <c r="BB30" s="72">
        <f>SUM(AY30:BA30)</f>
        <v>0</v>
      </c>
      <c r="BC30" s="72"/>
      <c r="BD30" s="75">
        <f>SUM(BD21:BD29)</f>
        <v>0</v>
      </c>
      <c r="BE30" s="75">
        <f>SUM(BE21:BE29)</f>
        <v>0</v>
      </c>
      <c r="BF30" s="75">
        <f>SUM(BF21:BF29)</f>
        <v>0</v>
      </c>
      <c r="BG30" s="72">
        <f>SUM(BD30:BF30)</f>
        <v>0</v>
      </c>
      <c r="BH30" s="72"/>
      <c r="BI30" s="75">
        <f>SUM(BI21:BI29)</f>
        <v>0</v>
      </c>
      <c r="BJ30" s="75">
        <f>SUM(BJ21:BJ29)</f>
        <v>0</v>
      </c>
      <c r="BK30" s="75">
        <f>SUM(BK21:BK29)</f>
        <v>0</v>
      </c>
      <c r="BL30" s="72">
        <f>SUM(BI30:BK30)</f>
        <v>0</v>
      </c>
      <c r="BM30" s="72"/>
      <c r="BN30" s="75">
        <f>SUM(BN21:BN29)</f>
        <v>0</v>
      </c>
      <c r="BO30" s="75">
        <f>SUM(BO21:BO29)</f>
        <v>0</v>
      </c>
      <c r="BP30" s="75">
        <f>SUM(BP21:BP29)</f>
        <v>0</v>
      </c>
      <c r="BQ30" s="72">
        <f>SUM(BN30:BP30)</f>
        <v>0</v>
      </c>
      <c r="BR30" s="72"/>
      <c r="BS30" s="75">
        <f>SUM(BS21:BS29)</f>
        <v>0</v>
      </c>
      <c r="BT30" s="75">
        <f>SUM(BT21:BT29)</f>
        <v>0</v>
      </c>
      <c r="BU30" s="75">
        <f>SUM(BU21:BU29)</f>
        <v>0</v>
      </c>
      <c r="BV30" s="72">
        <f>SUM(BS30:BU30)</f>
        <v>0</v>
      </c>
      <c r="BW30" s="72"/>
      <c r="BX30" s="75">
        <f>SUM(BX21:BX29)</f>
        <v>0</v>
      </c>
      <c r="BY30" s="75">
        <f>SUM(BY21:BY29)</f>
        <v>0</v>
      </c>
      <c r="BZ30" s="75">
        <f>SUM(BZ21:BZ29)</f>
        <v>0</v>
      </c>
      <c r="CA30" s="72">
        <f>SUM(BX30:BZ30)</f>
        <v>0</v>
      </c>
      <c r="CB30" s="72"/>
      <c r="CC30" s="75">
        <f>SUM(CC21:CC29)</f>
        <v>0</v>
      </c>
      <c r="CD30" s="75">
        <f>SUM(CD21:CD29)</f>
        <v>0</v>
      </c>
      <c r="CE30" s="75">
        <f>SUM(CE21:CE29)</f>
        <v>0</v>
      </c>
      <c r="CF30" s="84">
        <f>SUM(CC30:CE30)</f>
        <v>0</v>
      </c>
      <c r="CG30" s="89"/>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5"/>
      <c r="B31" s="160"/>
      <c r="C31" s="323"/>
      <c r="D31" s="40"/>
      <c r="E31" s="42"/>
      <c r="F31" s="102"/>
      <c r="G31" s="30"/>
      <c r="H31" s="30"/>
      <c r="I31" s="30"/>
      <c r="J31" s="30"/>
      <c r="K31" s="30"/>
      <c r="L31" s="30"/>
      <c r="M31" s="30"/>
      <c r="N31" s="30"/>
      <c r="O31" s="30"/>
      <c r="P31" s="30"/>
      <c r="Q31" s="30"/>
      <c r="R31" s="30"/>
      <c r="S31" s="30"/>
      <c r="T31" s="108"/>
      <c r="U31" s="40"/>
      <c r="V31" s="30"/>
      <c r="W31" s="42"/>
      <c r="X31" s="168"/>
      <c r="Y31" s="66"/>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0" t="s">
        <v>211</v>
      </c>
      <c r="B32" s="292"/>
      <c r="C32" s="324"/>
      <c r="D32" s="302"/>
      <c r="E32" s="303"/>
      <c r="F32" s="103"/>
      <c r="G32" s="69"/>
      <c r="H32" s="69"/>
      <c r="I32" s="69"/>
      <c r="J32" s="285"/>
      <c r="K32" s="69"/>
      <c r="L32" s="69"/>
      <c r="M32" s="69"/>
      <c r="N32" s="69"/>
      <c r="O32" s="285"/>
      <c r="P32" s="69"/>
      <c r="Q32" s="69"/>
      <c r="R32" s="69"/>
      <c r="S32" s="69"/>
      <c r="T32" s="277"/>
      <c r="U32" s="284"/>
      <c r="V32" s="285"/>
      <c r="W32" s="286"/>
      <c r="X32" s="178"/>
      <c r="Y32" s="504"/>
      <c r="Z32" s="69"/>
      <c r="AA32" s="69"/>
      <c r="AB32" s="69"/>
      <c r="AC32" s="285"/>
      <c r="AD32" s="72"/>
      <c r="AE32" s="69"/>
      <c r="AF32" s="69"/>
      <c r="AG32" s="69"/>
      <c r="AH32" s="285"/>
      <c r="AI32" s="72"/>
      <c r="AJ32" s="69"/>
      <c r="AK32" s="69"/>
      <c r="AL32" s="69"/>
      <c r="AM32" s="285"/>
      <c r="AN32" s="72"/>
      <c r="AO32" s="69"/>
      <c r="AP32" s="69"/>
      <c r="AQ32" s="69"/>
      <c r="AR32" s="285"/>
      <c r="AS32" s="72"/>
      <c r="AT32" s="69"/>
      <c r="AU32" s="69"/>
      <c r="AV32" s="69"/>
      <c r="AW32" s="285"/>
      <c r="AX32" s="72"/>
      <c r="AY32" s="69"/>
      <c r="AZ32" s="69"/>
      <c r="BA32" s="69"/>
      <c r="BB32" s="285"/>
      <c r="BC32" s="72"/>
      <c r="BD32" s="69"/>
      <c r="BE32" s="69"/>
      <c r="BF32" s="69"/>
      <c r="BG32" s="285"/>
      <c r="BH32" s="72"/>
      <c r="BI32" s="69"/>
      <c r="BJ32" s="69"/>
      <c r="BK32" s="69"/>
      <c r="BL32" s="285"/>
      <c r="BM32" s="72"/>
      <c r="BN32" s="69"/>
      <c r="BO32" s="69"/>
      <c r="BP32" s="69"/>
      <c r="BQ32" s="285"/>
      <c r="BR32" s="72"/>
      <c r="BS32" s="69"/>
      <c r="BT32" s="69"/>
      <c r="BU32" s="69"/>
      <c r="BV32" s="285"/>
      <c r="BW32" s="72"/>
      <c r="BX32" s="69"/>
      <c r="BY32" s="69"/>
      <c r="BZ32" s="69"/>
      <c r="CA32" s="285"/>
      <c r="CB32" s="72"/>
      <c r="CC32" s="69"/>
      <c r="CD32" s="69"/>
      <c r="CE32" s="69"/>
      <c r="CF32" s="285"/>
      <c r="CG32" s="89"/>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1" t="s">
        <v>201</v>
      </c>
      <c r="B33" s="281">
        <v>0</v>
      </c>
      <c r="C33" s="293">
        <v>0.04</v>
      </c>
      <c r="D33" s="116"/>
      <c r="E33" s="117"/>
      <c r="F33" s="104">
        <f>SUM((IF(ISBLANK(D33),B33,D33))+(F34*(IF(ISBLANK(E33),C33,E33))))</f>
        <v>800</v>
      </c>
      <c r="G33" s="70">
        <f>SUM((IF(ISBLANK(D33),B33,D33))+(G34*(IF(ISBLANK(E33),C33,E33))))</f>
        <v>800</v>
      </c>
      <c r="H33" s="70">
        <f>SUM((IF(ISBLANK(D33),B33,D33))+(H34*(IF(ISBLANK(E33),C33,E33))))</f>
        <v>800</v>
      </c>
      <c r="I33" s="70">
        <f>SUM((IF(ISBLANK(D33),B33,D33))+(I34*(IF(ISBLANK(E33),C33,E33))))</f>
        <v>800</v>
      </c>
      <c r="J33" s="282">
        <f>SUM(AC33+AH33+AM33+AR33)</f>
        <v>9600</v>
      </c>
      <c r="K33" s="70">
        <f>SUM((IF(ISBLANK(D33),B33,D33))+(K34*(IF(ISBLANK(E33),C33,E33))))</f>
        <v>800</v>
      </c>
      <c r="L33" s="70">
        <f>SUM((IF(ISBLANK(D33),B33,D33))+(L34*(IF(ISBLANK(E33),C33,E33))))</f>
        <v>800</v>
      </c>
      <c r="M33" s="70">
        <f>SUM((IF(ISBLANK(D33),B33,D33))+(M34*(IF(ISBLANK(E33),C33,E33))))</f>
        <v>800</v>
      </c>
      <c r="N33" s="70">
        <f>SUM((IF(ISBLANK(D33),B33,D33))+(N34*(IF(ISBLANK(E33),C33,E33))))</f>
        <v>800</v>
      </c>
      <c r="O33" s="282">
        <f>SUM(AW33+BB33+BG33+BL33)</f>
        <v>9600</v>
      </c>
      <c r="P33" s="70">
        <f>SUM((IF(ISBLANK(D33),B33,D33))+(P34*(IF(ISBLANK(E33),C33,E33))))</f>
        <v>800</v>
      </c>
      <c r="Q33" s="70">
        <f>SUM((IF(ISBLANK(D33),B33,D33))+(Q34*(IF(ISBLANK(E33),C33,E33))))</f>
        <v>800</v>
      </c>
      <c r="R33" s="70">
        <f>SUM((IF(ISBLANK(D33),B33,D33))+(R34*(IF(ISBLANK(E33),C33,E33))))</f>
        <v>800</v>
      </c>
      <c r="S33" s="70">
        <f>SUM((IF(ISBLANK(D33),B33,D33))+(S34*(IF(ISBLANK(E33),C33,E33))))</f>
        <v>800</v>
      </c>
      <c r="T33" s="305">
        <f>SUM(BQ33+BV33+CA33+CF33)</f>
        <v>9600</v>
      </c>
      <c r="U33" s="281">
        <f>SUM((IF(ISBLANK(D33),B33,D33))+(U34*(IF(ISBLANK(E33),C33,E33))))</f>
        <v>9600</v>
      </c>
      <c r="V33" s="282">
        <f>SUM((IF(ISBLANK(D33),B33,D33))+(V34*(IF(ISBLANK(E33),C33,E33))))</f>
        <v>9600</v>
      </c>
      <c r="W33" s="283">
        <f>SUM((IF(ISBLANK(D33),B33,D33))+(W34*(IF(ISBLANK(E33),C33,E33))))</f>
        <v>9600</v>
      </c>
      <c r="X33" s="177"/>
      <c r="Y33" s="505">
        <f>SUM(11102+10095+8000)</f>
        <v>29197</v>
      </c>
      <c r="Z33" s="70">
        <f>F33</f>
        <v>800</v>
      </c>
      <c r="AA33" s="70">
        <f>F33</f>
        <v>800</v>
      </c>
      <c r="AB33" s="70">
        <f>F33</f>
        <v>800</v>
      </c>
      <c r="AC33" s="282">
        <f t="shared" ref="AC33:AC43" si="134">SUM(Z33:AB33)</f>
        <v>2400</v>
      </c>
      <c r="AD33" s="74"/>
      <c r="AE33" s="70">
        <f>G33</f>
        <v>800</v>
      </c>
      <c r="AF33" s="70">
        <f>G33</f>
        <v>800</v>
      </c>
      <c r="AG33" s="70">
        <f>G33</f>
        <v>800</v>
      </c>
      <c r="AH33" s="282">
        <f t="shared" ref="AH33:AH46" si="135">SUM(AE33:AG33)</f>
        <v>2400</v>
      </c>
      <c r="AI33" s="74"/>
      <c r="AJ33" s="70">
        <f>H33</f>
        <v>800</v>
      </c>
      <c r="AK33" s="70">
        <f>H33</f>
        <v>800</v>
      </c>
      <c r="AL33" s="70">
        <f>H33</f>
        <v>800</v>
      </c>
      <c r="AM33" s="282">
        <f t="shared" ref="AM33:AM43" si="136">SUM(AJ33:AL33)</f>
        <v>2400</v>
      </c>
      <c r="AN33" s="74"/>
      <c r="AO33" s="70">
        <f>I33</f>
        <v>800</v>
      </c>
      <c r="AP33" s="70">
        <f>I33</f>
        <v>800</v>
      </c>
      <c r="AQ33" s="70">
        <f>I33</f>
        <v>800</v>
      </c>
      <c r="AR33" s="282">
        <f t="shared" ref="AR33:AR43" si="137">SUM(AO33:AQ33)</f>
        <v>2400</v>
      </c>
      <c r="AS33" s="74"/>
      <c r="AT33" s="70">
        <f>K33</f>
        <v>800</v>
      </c>
      <c r="AU33" s="70">
        <f>K33</f>
        <v>800</v>
      </c>
      <c r="AV33" s="70">
        <f>K33</f>
        <v>800</v>
      </c>
      <c r="AW33" s="282">
        <f t="shared" ref="AW33:AW43" si="138">SUM(AT33:AV33)</f>
        <v>2400</v>
      </c>
      <c r="AX33" s="74"/>
      <c r="AY33" s="70">
        <f>L33</f>
        <v>800</v>
      </c>
      <c r="AZ33" s="70">
        <f>L33</f>
        <v>800</v>
      </c>
      <c r="BA33" s="70">
        <f>L33</f>
        <v>800</v>
      </c>
      <c r="BB33" s="282">
        <f t="shared" ref="BB33:BB43" si="139">SUM(AY33:BA33)</f>
        <v>2400</v>
      </c>
      <c r="BC33" s="74"/>
      <c r="BD33" s="70">
        <f>M33</f>
        <v>800</v>
      </c>
      <c r="BE33" s="70">
        <f>M33</f>
        <v>800</v>
      </c>
      <c r="BF33" s="70">
        <f>M33</f>
        <v>800</v>
      </c>
      <c r="BG33" s="282">
        <f t="shared" ref="BG33:BG43" si="140">SUM(BD33:BF33)</f>
        <v>2400</v>
      </c>
      <c r="BH33" s="74"/>
      <c r="BI33" s="70">
        <f>N33</f>
        <v>800</v>
      </c>
      <c r="BJ33" s="70">
        <f>N33</f>
        <v>800</v>
      </c>
      <c r="BK33" s="70">
        <f>N33</f>
        <v>800</v>
      </c>
      <c r="BL33" s="282">
        <f t="shared" ref="BL33:BL43" si="141">SUM(BI33:BK33)</f>
        <v>2400</v>
      </c>
      <c r="BM33" s="74"/>
      <c r="BN33" s="70">
        <f>P33</f>
        <v>800</v>
      </c>
      <c r="BO33" s="70">
        <f>P33</f>
        <v>800</v>
      </c>
      <c r="BP33" s="70">
        <f>P33</f>
        <v>800</v>
      </c>
      <c r="BQ33" s="282">
        <f t="shared" ref="BQ33:BQ43" si="142">SUM(BN33:BP33)</f>
        <v>2400</v>
      </c>
      <c r="BR33" s="74"/>
      <c r="BS33" s="70">
        <f>Q33</f>
        <v>800</v>
      </c>
      <c r="BT33" s="70">
        <f>Q33</f>
        <v>800</v>
      </c>
      <c r="BU33" s="70">
        <f>Q33</f>
        <v>800</v>
      </c>
      <c r="BV33" s="282">
        <f t="shared" ref="BV33:BV43" si="143">SUM(BS33:BU33)</f>
        <v>2400</v>
      </c>
      <c r="BW33" s="74"/>
      <c r="BX33" s="70">
        <f>R33</f>
        <v>800</v>
      </c>
      <c r="BY33" s="70">
        <f>R33</f>
        <v>800</v>
      </c>
      <c r="BZ33" s="70">
        <f>R33</f>
        <v>800</v>
      </c>
      <c r="CA33" s="282">
        <f t="shared" ref="CA33:CA43" si="144">SUM(BX33:BZ33)</f>
        <v>2400</v>
      </c>
      <c r="CB33" s="74"/>
      <c r="CC33" s="70">
        <f>S33</f>
        <v>800</v>
      </c>
      <c r="CD33" s="70">
        <f>S33</f>
        <v>800</v>
      </c>
      <c r="CE33" s="70">
        <f>S33</f>
        <v>800</v>
      </c>
      <c r="CF33" s="282">
        <f t="shared" ref="CF33:CF43" si="145">SUM(CC33:CE33)</f>
        <v>2400</v>
      </c>
      <c r="CG33" s="88"/>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1" t="s">
        <v>202</v>
      </c>
      <c r="B34" s="260">
        <v>0.1</v>
      </c>
      <c r="C34" s="293">
        <v>-5.0000000000000001E-3</v>
      </c>
      <c r="D34" s="118"/>
      <c r="E34" s="117"/>
      <c r="F34" s="130">
        <v>20000</v>
      </c>
      <c r="G34" s="131">
        <v>20000</v>
      </c>
      <c r="H34" s="70">
        <f>SUM((IF(ISBLANK(D34),B34,D34)*(H30/3))+(G34))</f>
        <v>20000</v>
      </c>
      <c r="I34" s="70">
        <f>SUM(IF(ISBLANK(D34),      (IF((1*(IF(ISBLANK(E34),C34,E34)) + B34) &lt; 0,     0,     (1*(IF(ISBLANK(E34),C34,E34)) + B34)   )),       (IF((1*(IF(ISBLANK(E34),C34,E34)) + D34) &lt; 0,     0,     (1*(IF(ISBLANK(E34),C34,E34)) + D34)   ))  )       *   (I30/3)+(H34))</f>
        <v>20000</v>
      </c>
      <c r="J34" s="282">
        <f t="shared" ref="J34:J45" si="146">SUM(AC34+AH34+AM34+AR34)</f>
        <v>240000</v>
      </c>
      <c r="K34" s="70">
        <f>SUM(IF(ISBLANK(D34),      (IF((2*(IF(ISBLANK(E34),C34,E34)) + B34) &lt; 0,     0,     (2*(IF(ISBLANK(E34),C34,E34)) + B34)   )),       (IF((2*(IF(ISBLANK(E34),C34,E34)) + D34) &lt; 0,     0,     (2*(IF(ISBLANK(E34),C34,E34)) + D34)   ))  )       *   (K30/3)+(I34))</f>
        <v>20000</v>
      </c>
      <c r="L34" s="70">
        <f>SUM(IF(ISBLANK(D34),      (IF((3*(IF(ISBLANK(E34),C34,E34)) + B34) &lt; 0,     0,     (3*(IF(ISBLANK(E34),C34,E34)) + B34)   )),       (IF((3*(IF(ISBLANK(E34),C34,E34)) + D34) &lt; 0,     0,     (3*(IF(ISBLANK(E34),C34,E34)) + D34)   ))  )       *   (L30/3)+(K34))</f>
        <v>20000</v>
      </c>
      <c r="M34" s="70">
        <f>SUM(IF(ISBLANK(D34),      (IF((4*(IF(ISBLANK(E34),C34,E34)) + B34) &lt; 0,     0,     (4*(IF(ISBLANK(E34),C34,E34)) + B34)   )),       (IF((4*(IF(ISBLANK(E34),C34,E34)) + D34) &lt; 0,     0,     (4*(IF(ISBLANK(E34),C34,E34)) + D34)   ))  )       *   (M30/3)+(L34))</f>
        <v>20000</v>
      </c>
      <c r="N34" s="70">
        <f>SUM(IF(ISBLANK(D34),      (IF((5*(IF(ISBLANK(E34),C34,E34)) + B34) &lt; 0,     0,     (5*(IF(ISBLANK(E34),C34,E34)) + B34)   )),       (IF((5*(IF(ISBLANK(E34),C34,E34)) + D34) &lt; 0,     0,     (5*(IF(ISBLANK(E34),C34,E34)) + D34)   ))  )       *   (N30/3)+(M34))</f>
        <v>20000</v>
      </c>
      <c r="O34" s="282">
        <f t="shared" ref="O34:O45" si="147">SUM(AW34+BB34+BG34+BL34)</f>
        <v>240000</v>
      </c>
      <c r="P34" s="70">
        <f>SUM(IF(ISBLANK(D34),      (IF((6*(IF(ISBLANK(E34),C34,E34)) + B34) &lt; 0,     0,     (6*(IF(ISBLANK(E34),C34,E34)) + B34)   )),       (IF((6*(IF(ISBLANK(E34),C34,E34)) + D34) &lt; 0,     0,     (6*(IF(ISBLANK(E34),C34,E34)) + D34)   ))  )       *   (P30/3)+(N34))</f>
        <v>20000</v>
      </c>
      <c r="Q34" s="70">
        <f>SUM(IF(ISBLANK(D34),      (IF((7*(IF(ISBLANK(E34),C34,E34)) + B34) &lt; 0,     0,     (7*(IF(ISBLANK(E34),C34,E34)) + B34)   )),       (IF((7*(IF(ISBLANK(E34),C34,E34)) + D34) &lt; 0,     0,     (7*(IF(ISBLANK(E34),C34,E34)) + D34)   ))  )       *   (Q30/3)+(P34))</f>
        <v>20000</v>
      </c>
      <c r="R34" s="70">
        <f>SUM(IF(ISBLANK(D34),      (IF((8*(IF(ISBLANK(E34),C34,E34)) + B34) &lt; 0,     0,     (8*(IF(ISBLANK(E34),C34,E34)) + B34)   )),       (IF((8*(IF(ISBLANK(E34),C34,E34)) + D34) &lt; 0,     0,     (8*(IF(ISBLANK(E34),C34,E34)) + D34)   ))  )       *   (R30/3)+(Q34))</f>
        <v>20000</v>
      </c>
      <c r="S34" s="70">
        <f>SUM(IF(ISBLANK(D34),      (IF((9*(IF(ISBLANK(E34),C34,E34)) + B34) &lt; 0,     0,     (9*(IF(ISBLANK(E34),C34,E34)) + B34)   )),       (IF((9*(IF(ISBLANK(E34),C34,E34)) + D34) &lt; 0,     0,     (9*(IF(ISBLANK(E34),C34,E34)) + D34)   ))  )       *   (S30/3)+(R34))</f>
        <v>20000</v>
      </c>
      <c r="T34" s="305">
        <f t="shared" ref="T34:T45" si="148">SUM(BQ34+BV34+CA34+CF34)</f>
        <v>240000</v>
      </c>
      <c r="U34" s="281">
        <f>SUM(IF(ISBLANK(D34),      (IF((10*(IF(ISBLANK(E34),C34,E34)) + B34) &lt; 0,     0,     (10*(IF(ISBLANK(E34),C34,E34)) + B34)   )),       (IF((10*(IF(ISBLANK(E34),C34,E34)) + D34) &lt; 0,     0,     (10*(IF(ISBLANK(E34),C34,E34)) + D34)   ))  )       *   (U30/3)+(S34))*12</f>
        <v>240000</v>
      </c>
      <c r="V34" s="282">
        <f>SUM(IF(ISBLANK(D34),      (IF((11*(IF(ISBLANK(E34),C34,E34)) + B34) &lt; 0,     0,     (11*(IF(ISBLANK(E34),C34,E34)) + B34)   )),       (IF((11*(IF(ISBLANK(E34),C34,E34)) + D34) &lt; 0,     0,     (11*(IF(ISBLANK(E34),C34,E34)) + D34)   ))  )       *   (V30/12)+(U34/12))*12</f>
        <v>240000</v>
      </c>
      <c r="W34" s="283">
        <f>SUM(IF(ISBLANK(D34),      (IF((12*(IF(ISBLANK(E34),C34,E34)) + B34) &lt; 0,     0,     (12*(IF(ISBLANK(E34),C34,E34)) + B34)   )),       (IF((12*(IF(ISBLANK(E34),C34,E34)) + D34) &lt; 0,     0,     (12*(IF(ISBLANK(E34),C34,E34)) + D34)   ))  )       *   (W30/12)+(V34/12))*12</f>
        <v>240000</v>
      </c>
      <c r="X34" s="177"/>
      <c r="Y34" s="505">
        <f>SUM(30664+342396+71683+36198+34170+34090+28752+50203+25449+25629+23773+25295+25295+20000)</f>
        <v>773597</v>
      </c>
      <c r="Z34" s="70">
        <f t="shared" ref="Z34:Z46" si="149">F34</f>
        <v>20000</v>
      </c>
      <c r="AA34" s="70">
        <f t="shared" ref="AA34:AA46" si="150">F34</f>
        <v>20000</v>
      </c>
      <c r="AB34" s="70">
        <f t="shared" ref="AB34:AB46" si="151">F34</f>
        <v>20000</v>
      </c>
      <c r="AC34" s="282">
        <f t="shared" si="134"/>
        <v>60000</v>
      </c>
      <c r="AD34" s="74"/>
      <c r="AE34" s="70">
        <f t="shared" ref="AE34:AE46" si="152">G34</f>
        <v>20000</v>
      </c>
      <c r="AF34" s="70">
        <f t="shared" ref="AF34:AF46" si="153">G34</f>
        <v>20000</v>
      </c>
      <c r="AG34" s="70">
        <f t="shared" ref="AG34:AG46" si="154">G34</f>
        <v>20000</v>
      </c>
      <c r="AH34" s="282">
        <f t="shared" si="135"/>
        <v>60000</v>
      </c>
      <c r="AI34" s="74"/>
      <c r="AJ34" s="70">
        <f t="shared" ref="AJ34:AJ46" si="155">H34</f>
        <v>20000</v>
      </c>
      <c r="AK34" s="70">
        <f t="shared" ref="AK34:AK46" si="156">H34</f>
        <v>20000</v>
      </c>
      <c r="AL34" s="70">
        <f t="shared" ref="AL34:AL46" si="157">H34</f>
        <v>20000</v>
      </c>
      <c r="AM34" s="282">
        <f t="shared" si="136"/>
        <v>60000</v>
      </c>
      <c r="AN34" s="74"/>
      <c r="AO34" s="70">
        <f t="shared" ref="AO34:AO46" si="158">I34</f>
        <v>20000</v>
      </c>
      <c r="AP34" s="70">
        <f t="shared" ref="AP34:AP46" si="159">I34</f>
        <v>20000</v>
      </c>
      <c r="AQ34" s="70">
        <f t="shared" ref="AQ34:AQ46" si="160">I34</f>
        <v>20000</v>
      </c>
      <c r="AR34" s="282">
        <f t="shared" si="137"/>
        <v>60000</v>
      </c>
      <c r="AS34" s="74"/>
      <c r="AT34" s="70">
        <f t="shared" ref="AT34:AT46" si="161">K34</f>
        <v>20000</v>
      </c>
      <c r="AU34" s="70">
        <f t="shared" ref="AU34:AU46" si="162">K34</f>
        <v>20000</v>
      </c>
      <c r="AV34" s="70">
        <f t="shared" ref="AV34:AV46" si="163">K34</f>
        <v>20000</v>
      </c>
      <c r="AW34" s="282">
        <f t="shared" si="138"/>
        <v>60000</v>
      </c>
      <c r="AX34" s="74"/>
      <c r="AY34" s="70">
        <f t="shared" ref="AY34:AY46" si="164">L34</f>
        <v>20000</v>
      </c>
      <c r="AZ34" s="70">
        <f t="shared" ref="AZ34:AZ46" si="165">L34</f>
        <v>20000</v>
      </c>
      <c r="BA34" s="70">
        <f t="shared" ref="BA34:BA46" si="166">L34</f>
        <v>20000</v>
      </c>
      <c r="BB34" s="282">
        <f t="shared" si="139"/>
        <v>60000</v>
      </c>
      <c r="BC34" s="74"/>
      <c r="BD34" s="70">
        <f t="shared" ref="BD34:BD46" si="167">M34</f>
        <v>20000</v>
      </c>
      <c r="BE34" s="70">
        <f t="shared" ref="BE34:BE46" si="168">M34</f>
        <v>20000</v>
      </c>
      <c r="BF34" s="70">
        <f t="shared" ref="BF34:BF46" si="169">M34</f>
        <v>20000</v>
      </c>
      <c r="BG34" s="282">
        <f t="shared" si="140"/>
        <v>60000</v>
      </c>
      <c r="BH34" s="74"/>
      <c r="BI34" s="70">
        <f t="shared" ref="BI34:BI46" si="170">N34</f>
        <v>20000</v>
      </c>
      <c r="BJ34" s="70">
        <f t="shared" ref="BJ34:BJ46" si="171">N34</f>
        <v>20000</v>
      </c>
      <c r="BK34" s="70">
        <f t="shared" ref="BK34:BK46" si="172">N34</f>
        <v>20000</v>
      </c>
      <c r="BL34" s="282">
        <f t="shared" si="141"/>
        <v>60000</v>
      </c>
      <c r="BM34" s="74"/>
      <c r="BN34" s="70">
        <f t="shared" ref="BN34:BN46" si="173">P34</f>
        <v>20000</v>
      </c>
      <c r="BO34" s="70">
        <f t="shared" ref="BO34:BO43" si="174">P34</f>
        <v>20000</v>
      </c>
      <c r="BP34" s="70">
        <f t="shared" ref="BP34:BP46" si="175">P34</f>
        <v>20000</v>
      </c>
      <c r="BQ34" s="282">
        <f t="shared" si="142"/>
        <v>60000</v>
      </c>
      <c r="BR34" s="74"/>
      <c r="BS34" s="70">
        <f t="shared" ref="BS34:BS46" si="176">Q34</f>
        <v>20000</v>
      </c>
      <c r="BT34" s="70">
        <f t="shared" ref="BT34:BT46" si="177">Q34</f>
        <v>20000</v>
      </c>
      <c r="BU34" s="70">
        <f t="shared" ref="BU34:BU46" si="178">Q34</f>
        <v>20000</v>
      </c>
      <c r="BV34" s="282">
        <f t="shared" si="143"/>
        <v>60000</v>
      </c>
      <c r="BW34" s="74"/>
      <c r="BX34" s="70">
        <f t="shared" ref="BX34:BX46" si="179">R34</f>
        <v>20000</v>
      </c>
      <c r="BY34" s="70">
        <f t="shared" ref="BY34:BY46" si="180">R34</f>
        <v>20000</v>
      </c>
      <c r="BZ34" s="70">
        <f t="shared" ref="BZ34:BZ46" si="181">R34</f>
        <v>20000</v>
      </c>
      <c r="CA34" s="282">
        <f t="shared" si="144"/>
        <v>60000</v>
      </c>
      <c r="CB34" s="74"/>
      <c r="CC34" s="70">
        <f t="shared" ref="CC34:CC46" si="182">S34</f>
        <v>20000</v>
      </c>
      <c r="CD34" s="70">
        <f t="shared" ref="CD34:CD46" si="183">S34</f>
        <v>20000</v>
      </c>
      <c r="CE34" s="70">
        <f t="shared" ref="CE34:CE46" si="184">S34</f>
        <v>20000</v>
      </c>
      <c r="CF34" s="282">
        <f t="shared" si="145"/>
        <v>60000</v>
      </c>
      <c r="CG34" s="88"/>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1" t="s">
        <v>203</v>
      </c>
      <c r="B35" s="281">
        <v>0</v>
      </c>
      <c r="C35" s="293">
        <v>0.01</v>
      </c>
      <c r="D35" s="116"/>
      <c r="E35" s="117"/>
      <c r="F35" s="104">
        <f>SUM((IF(ISBLANK(D35),B35,D35))+(F34*(IF(ISBLANK(E35),C35,E35))))</f>
        <v>200</v>
      </c>
      <c r="G35" s="70">
        <f>SUM((IF(ISBLANK(D35),B35,D35))+(G34*(IF(ISBLANK(E35),C35,E35))))</f>
        <v>200</v>
      </c>
      <c r="H35" s="70">
        <f>SUM((IF(ISBLANK(D35),B35,D35))+(H34*(IF(ISBLANK(E35),C35,E35))))</f>
        <v>200</v>
      </c>
      <c r="I35" s="70">
        <f>SUM((IF(ISBLANK(D35),B35,D35))+(I34*(IF(ISBLANK(E35),C35,E35))))</f>
        <v>200</v>
      </c>
      <c r="J35" s="282">
        <f t="shared" si="146"/>
        <v>2400</v>
      </c>
      <c r="K35" s="70">
        <f>SUM((IF(ISBLANK(D35),B35,D35))+(K34*(IF(ISBLANK(E35),C35,E35))))</f>
        <v>200</v>
      </c>
      <c r="L35" s="70">
        <f>SUM((IF(ISBLANK(D35),B35,D35))+(L34*(IF(ISBLANK(E35),C35,E35))))</f>
        <v>200</v>
      </c>
      <c r="M35" s="70">
        <f>SUM((IF(ISBLANK(D35),B35,D35))+(M34*(IF(ISBLANK(E35),C35,E35))))</f>
        <v>200</v>
      </c>
      <c r="N35" s="70">
        <f>SUM((IF(ISBLANK(D35),B35,D35))+(N34*(IF(ISBLANK(E35),C35,E35))))</f>
        <v>200</v>
      </c>
      <c r="O35" s="282">
        <f t="shared" si="147"/>
        <v>2400</v>
      </c>
      <c r="P35" s="70">
        <f>SUM((IF(ISBLANK(D35),B35,D35))+(P34*(IF(ISBLANK(E35),C35,E35))))</f>
        <v>200</v>
      </c>
      <c r="Q35" s="70">
        <f>SUM((IF(ISBLANK(D35),B35,D35))+(Q34*(IF(ISBLANK(E35),C35,E35))))</f>
        <v>200</v>
      </c>
      <c r="R35" s="70">
        <f>SUM((IF(ISBLANK(D35),B35,D35))+(R34*(IF(ISBLANK(E35),C35,E35))))</f>
        <v>200</v>
      </c>
      <c r="S35" s="70">
        <f>SUM((IF(ISBLANK(D35),B35,D35))+(S34*(IF(ISBLANK(E35),C35,E35))))</f>
        <v>200</v>
      </c>
      <c r="T35" s="305">
        <f t="shared" si="148"/>
        <v>2400</v>
      </c>
      <c r="U35" s="281">
        <f>SUM((IF(ISBLANK(D35),B35,D35))+(U34*(IF(ISBLANK(E35),C35,E35))))</f>
        <v>2400</v>
      </c>
      <c r="V35" s="282">
        <f>SUM((IF(ISBLANK(D35),B35,D35))+(V34*(IF(ISBLANK(E35),C35,E35))))</f>
        <v>2400</v>
      </c>
      <c r="W35" s="283">
        <f>SUM((IF(ISBLANK(D35),B35,D35))+(W34*(IF(ISBLANK(E35),C35,E35))))</f>
        <v>2400</v>
      </c>
      <c r="X35" s="177"/>
      <c r="Y35" s="505">
        <v>4000</v>
      </c>
      <c r="Z35" s="70">
        <f t="shared" si="149"/>
        <v>200</v>
      </c>
      <c r="AA35" s="70">
        <f t="shared" si="150"/>
        <v>200</v>
      </c>
      <c r="AB35" s="70">
        <f t="shared" si="151"/>
        <v>200</v>
      </c>
      <c r="AC35" s="282">
        <f t="shared" si="134"/>
        <v>600</v>
      </c>
      <c r="AD35" s="74"/>
      <c r="AE35" s="70">
        <f t="shared" si="152"/>
        <v>200</v>
      </c>
      <c r="AF35" s="70">
        <f t="shared" si="153"/>
        <v>200</v>
      </c>
      <c r="AG35" s="70">
        <f t="shared" si="154"/>
        <v>200</v>
      </c>
      <c r="AH35" s="282">
        <f t="shared" si="135"/>
        <v>600</v>
      </c>
      <c r="AI35" s="74"/>
      <c r="AJ35" s="70">
        <f t="shared" si="155"/>
        <v>200</v>
      </c>
      <c r="AK35" s="70">
        <f t="shared" si="156"/>
        <v>200</v>
      </c>
      <c r="AL35" s="70">
        <f t="shared" si="157"/>
        <v>200</v>
      </c>
      <c r="AM35" s="282">
        <f t="shared" si="136"/>
        <v>600</v>
      </c>
      <c r="AN35" s="74"/>
      <c r="AO35" s="70">
        <f t="shared" si="158"/>
        <v>200</v>
      </c>
      <c r="AP35" s="70">
        <f t="shared" si="159"/>
        <v>200</v>
      </c>
      <c r="AQ35" s="70">
        <f t="shared" si="160"/>
        <v>200</v>
      </c>
      <c r="AR35" s="282">
        <f t="shared" si="137"/>
        <v>600</v>
      </c>
      <c r="AS35" s="74"/>
      <c r="AT35" s="70">
        <f t="shared" si="161"/>
        <v>200</v>
      </c>
      <c r="AU35" s="70">
        <f t="shared" si="162"/>
        <v>200</v>
      </c>
      <c r="AV35" s="70">
        <f t="shared" si="163"/>
        <v>200</v>
      </c>
      <c r="AW35" s="282">
        <f t="shared" si="138"/>
        <v>600</v>
      </c>
      <c r="AX35" s="74"/>
      <c r="AY35" s="70">
        <f t="shared" si="164"/>
        <v>200</v>
      </c>
      <c r="AZ35" s="70">
        <f t="shared" si="165"/>
        <v>200</v>
      </c>
      <c r="BA35" s="70">
        <f t="shared" si="166"/>
        <v>200</v>
      </c>
      <c r="BB35" s="282">
        <f t="shared" si="139"/>
        <v>600</v>
      </c>
      <c r="BC35" s="74"/>
      <c r="BD35" s="70">
        <f t="shared" si="167"/>
        <v>200</v>
      </c>
      <c r="BE35" s="70">
        <f t="shared" si="168"/>
        <v>200</v>
      </c>
      <c r="BF35" s="70">
        <f t="shared" si="169"/>
        <v>200</v>
      </c>
      <c r="BG35" s="282">
        <f t="shared" si="140"/>
        <v>600</v>
      </c>
      <c r="BH35" s="74"/>
      <c r="BI35" s="70">
        <f t="shared" si="170"/>
        <v>200</v>
      </c>
      <c r="BJ35" s="70">
        <f t="shared" si="171"/>
        <v>200</v>
      </c>
      <c r="BK35" s="70">
        <f t="shared" si="172"/>
        <v>200</v>
      </c>
      <c r="BL35" s="282">
        <f t="shared" si="141"/>
        <v>600</v>
      </c>
      <c r="BM35" s="74"/>
      <c r="BN35" s="70">
        <f t="shared" si="173"/>
        <v>200</v>
      </c>
      <c r="BO35" s="70">
        <f t="shared" si="174"/>
        <v>200</v>
      </c>
      <c r="BP35" s="70">
        <f t="shared" si="175"/>
        <v>200</v>
      </c>
      <c r="BQ35" s="282">
        <f t="shared" si="142"/>
        <v>600</v>
      </c>
      <c r="BR35" s="74"/>
      <c r="BS35" s="70">
        <f t="shared" si="176"/>
        <v>200</v>
      </c>
      <c r="BT35" s="70">
        <f t="shared" si="177"/>
        <v>200</v>
      </c>
      <c r="BU35" s="70">
        <f t="shared" si="178"/>
        <v>200</v>
      </c>
      <c r="BV35" s="282">
        <f t="shared" si="143"/>
        <v>600</v>
      </c>
      <c r="BW35" s="74"/>
      <c r="BX35" s="70">
        <f t="shared" si="179"/>
        <v>200</v>
      </c>
      <c r="BY35" s="70">
        <f t="shared" si="180"/>
        <v>200</v>
      </c>
      <c r="BZ35" s="70">
        <f t="shared" si="181"/>
        <v>200</v>
      </c>
      <c r="CA35" s="282">
        <f t="shared" si="144"/>
        <v>600</v>
      </c>
      <c r="CB35" s="74"/>
      <c r="CC35" s="70">
        <f t="shared" si="182"/>
        <v>200</v>
      </c>
      <c r="CD35" s="70">
        <f t="shared" si="183"/>
        <v>200</v>
      </c>
      <c r="CE35" s="70">
        <f t="shared" si="184"/>
        <v>200</v>
      </c>
      <c r="CF35" s="282">
        <f t="shared" si="145"/>
        <v>600</v>
      </c>
      <c r="CG35" s="88"/>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1" t="s">
        <v>204</v>
      </c>
      <c r="B36" s="281">
        <v>1500</v>
      </c>
      <c r="C36" s="293">
        <v>0.06</v>
      </c>
      <c r="D36" s="116"/>
      <c r="E36" s="117"/>
      <c r="F36" s="104">
        <f>SUM((IF(ISBLANK(D36),B36,D36))+(F34*(IF(ISBLANK(E36),C36,E36))))</f>
        <v>2700</v>
      </c>
      <c r="G36" s="70">
        <f>SUM((IF(ISBLANK(D36),B36,D36))+(G34*(IF(ISBLANK(E36),C36,E36))))</f>
        <v>2700</v>
      </c>
      <c r="H36" s="70">
        <f>SUM((IF(ISBLANK(D36),B36,D36))+(H34*(IF(ISBLANK(E36),C36,E36))))</f>
        <v>2700</v>
      </c>
      <c r="I36" s="70">
        <f>SUM((IF(ISBLANK(D36),B36,D36))+(I34*(IF(ISBLANK(E36),C36,E36))))</f>
        <v>2700</v>
      </c>
      <c r="J36" s="282">
        <f t="shared" si="146"/>
        <v>32400</v>
      </c>
      <c r="K36" s="70">
        <f>SUM((IF(ISBLANK(D36),B36,D36))+(K34*(IF(ISBLANK(E36),C36,E36))))</f>
        <v>2700</v>
      </c>
      <c r="L36" s="70">
        <f>SUM((IF(ISBLANK(D36),B36,D36))+(L34*(IF(ISBLANK(E36),C36,E36))))</f>
        <v>2700</v>
      </c>
      <c r="M36" s="70">
        <f>SUM((IF(ISBLANK(D36),B36,D36))+(M34*(IF(ISBLANK(E36),C36,E36))))</f>
        <v>2700</v>
      </c>
      <c r="N36" s="70">
        <f>SUM((IF(ISBLANK(D36),B36,D36))+(N34*(IF(ISBLANK(E36),C36,E36))))</f>
        <v>2700</v>
      </c>
      <c r="O36" s="282">
        <f t="shared" si="147"/>
        <v>32400</v>
      </c>
      <c r="P36" s="70">
        <f>SUM((IF(ISBLANK(D36),B36,D36))+(P34*(IF(ISBLANK(E36),C36,E36))))</f>
        <v>2700</v>
      </c>
      <c r="Q36" s="70">
        <f>SUM((IF(ISBLANK(D36),B36,D36))+(Q34*(IF(ISBLANK(E36),C36,E36))))</f>
        <v>2700</v>
      </c>
      <c r="R36" s="70">
        <f>SUM((IF(ISBLANK(D36),B36,D36))+(R34*(IF(ISBLANK(E36),C36,E36))))</f>
        <v>2700</v>
      </c>
      <c r="S36" s="70">
        <f>SUM((IF(ISBLANK(D36),B36,D36))+(S34*(IF(ISBLANK(E36),C36,E36))))</f>
        <v>2700</v>
      </c>
      <c r="T36" s="305">
        <f t="shared" si="148"/>
        <v>32400</v>
      </c>
      <c r="U36" s="281">
        <f>SUM((IF(ISBLANK(D36),B36,D36))+(U34*(IF(ISBLANK(E36),C36,E36))))</f>
        <v>15900</v>
      </c>
      <c r="V36" s="282">
        <f>SUM((IF(ISBLANK(D36),B36,D36))+(V34*(IF(ISBLANK(E36),C36,E36))))</f>
        <v>15900</v>
      </c>
      <c r="W36" s="283">
        <f>SUM((IF(ISBLANK(D36),B36,D36))+(W34*(IF(ISBLANK(E36),C36,E36))))</f>
        <v>15900</v>
      </c>
      <c r="X36" s="177"/>
      <c r="Y36" s="505">
        <f>SUM(3832+10734+12859+20000)</f>
        <v>47425</v>
      </c>
      <c r="Z36" s="70">
        <f t="shared" si="149"/>
        <v>2700</v>
      </c>
      <c r="AA36" s="70">
        <f t="shared" si="150"/>
        <v>2700</v>
      </c>
      <c r="AB36" s="70">
        <f t="shared" si="151"/>
        <v>2700</v>
      </c>
      <c r="AC36" s="282">
        <f t="shared" si="134"/>
        <v>8100</v>
      </c>
      <c r="AD36" s="74"/>
      <c r="AE36" s="70">
        <f t="shared" si="152"/>
        <v>2700</v>
      </c>
      <c r="AF36" s="70">
        <f t="shared" si="153"/>
        <v>2700</v>
      </c>
      <c r="AG36" s="70">
        <f t="shared" si="154"/>
        <v>2700</v>
      </c>
      <c r="AH36" s="282">
        <f t="shared" si="135"/>
        <v>8100</v>
      </c>
      <c r="AI36" s="74"/>
      <c r="AJ36" s="70">
        <f t="shared" si="155"/>
        <v>2700</v>
      </c>
      <c r="AK36" s="70">
        <f t="shared" si="156"/>
        <v>2700</v>
      </c>
      <c r="AL36" s="70">
        <f t="shared" si="157"/>
        <v>2700</v>
      </c>
      <c r="AM36" s="282">
        <f t="shared" si="136"/>
        <v>8100</v>
      </c>
      <c r="AN36" s="74"/>
      <c r="AO36" s="70">
        <f t="shared" si="158"/>
        <v>2700</v>
      </c>
      <c r="AP36" s="70">
        <f t="shared" si="159"/>
        <v>2700</v>
      </c>
      <c r="AQ36" s="70">
        <f t="shared" si="160"/>
        <v>2700</v>
      </c>
      <c r="AR36" s="282">
        <f t="shared" si="137"/>
        <v>8100</v>
      </c>
      <c r="AS36" s="74"/>
      <c r="AT36" s="70">
        <f t="shared" si="161"/>
        <v>2700</v>
      </c>
      <c r="AU36" s="70">
        <f t="shared" si="162"/>
        <v>2700</v>
      </c>
      <c r="AV36" s="70">
        <f t="shared" si="163"/>
        <v>2700</v>
      </c>
      <c r="AW36" s="282">
        <f t="shared" si="138"/>
        <v>8100</v>
      </c>
      <c r="AX36" s="74"/>
      <c r="AY36" s="70">
        <f t="shared" si="164"/>
        <v>2700</v>
      </c>
      <c r="AZ36" s="70">
        <f>L36</f>
        <v>2700</v>
      </c>
      <c r="BA36" s="70">
        <f t="shared" si="166"/>
        <v>2700</v>
      </c>
      <c r="BB36" s="282">
        <f t="shared" si="139"/>
        <v>8100</v>
      </c>
      <c r="BC36" s="74"/>
      <c r="BD36" s="70">
        <f t="shared" si="167"/>
        <v>2700</v>
      </c>
      <c r="BE36" s="70">
        <f t="shared" si="168"/>
        <v>2700</v>
      </c>
      <c r="BF36" s="70">
        <f t="shared" si="169"/>
        <v>2700</v>
      </c>
      <c r="BG36" s="282">
        <f t="shared" si="140"/>
        <v>8100</v>
      </c>
      <c r="BH36" s="74"/>
      <c r="BI36" s="70">
        <f t="shared" si="170"/>
        <v>2700</v>
      </c>
      <c r="BJ36" s="70">
        <f t="shared" si="171"/>
        <v>2700</v>
      </c>
      <c r="BK36" s="70">
        <f t="shared" si="172"/>
        <v>2700</v>
      </c>
      <c r="BL36" s="282">
        <f t="shared" si="141"/>
        <v>8100</v>
      </c>
      <c r="BM36" s="74"/>
      <c r="BN36" s="70">
        <f t="shared" si="173"/>
        <v>2700</v>
      </c>
      <c r="BO36" s="70">
        <f t="shared" si="174"/>
        <v>2700</v>
      </c>
      <c r="BP36" s="70">
        <f t="shared" si="175"/>
        <v>2700</v>
      </c>
      <c r="BQ36" s="282">
        <f t="shared" si="142"/>
        <v>8100</v>
      </c>
      <c r="BR36" s="74"/>
      <c r="BS36" s="70">
        <f t="shared" si="176"/>
        <v>2700</v>
      </c>
      <c r="BT36" s="70">
        <f t="shared" si="177"/>
        <v>2700</v>
      </c>
      <c r="BU36" s="70">
        <f t="shared" si="178"/>
        <v>2700</v>
      </c>
      <c r="BV36" s="282">
        <f t="shared" si="143"/>
        <v>8100</v>
      </c>
      <c r="BW36" s="74"/>
      <c r="BX36" s="70">
        <f t="shared" si="179"/>
        <v>2700</v>
      </c>
      <c r="BY36" s="70">
        <f t="shared" si="180"/>
        <v>2700</v>
      </c>
      <c r="BZ36" s="70">
        <f t="shared" si="181"/>
        <v>2700</v>
      </c>
      <c r="CA36" s="282">
        <f t="shared" si="144"/>
        <v>8100</v>
      </c>
      <c r="CB36" s="74"/>
      <c r="CC36" s="70">
        <f t="shared" si="182"/>
        <v>2700</v>
      </c>
      <c r="CD36" s="70">
        <f t="shared" si="183"/>
        <v>2700</v>
      </c>
      <c r="CE36" s="70">
        <f t="shared" si="184"/>
        <v>2700</v>
      </c>
      <c r="CF36" s="282">
        <f t="shared" si="145"/>
        <v>8100</v>
      </c>
      <c r="CG36" s="88"/>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1" t="s">
        <v>205</v>
      </c>
      <c r="B37" s="260">
        <v>0.3</v>
      </c>
      <c r="C37" s="293">
        <v>-1.4999999999999999E-2</v>
      </c>
      <c r="D37" s="118"/>
      <c r="E37" s="117"/>
      <c r="F37" s="104">
        <f>SUM((IF(AC21*((0*(IF(ISBLANK(E37),C37,E37)))+IF(ISBLANK(D37),B37,D37)) &lt; 0, 0, (AC21*((0*(IF(ISBLANK(E37),C37,E37)))+IF(ISBLANK(D37),B37,D37)))))/3)</f>
        <v>0</v>
      </c>
      <c r="G37" s="70">
        <f>SUM((IF(AH21*((0*(IF(ISBLANK(E37),C37,E37)))+IF(ISBLANK(D37),B37,D37)) &lt; 0, 0, (AH21*((0*(IF(ISBLANK(E37),C37,E37)))+IF(ISBLANK(D37),B37,D37)))))/3)</f>
        <v>0</v>
      </c>
      <c r="H37" s="70">
        <f>SUM((IF(AM21*((0*(IF(ISBLANK(E37),C37,E37)))+IF(ISBLANK(D37),B37,D37)) &lt; 0, 0, (AM21*((0*(IF(ISBLANK(E37),C37,E37)))+IF(ISBLANK(D37),B37,D37)))))/3)</f>
        <v>0</v>
      </c>
      <c r="I37" s="70">
        <f>SUM((IF(AR21*((1*(IF(ISBLANK(E37),C37,E37)))+IF(ISBLANK(D37),B37,D37)) &lt; 0, 0, (AR21*((1*(IF(ISBLANK(E37),C37,E37)))+IF(ISBLANK(D37),B37,D37)))))/3)</f>
        <v>0</v>
      </c>
      <c r="J37" s="282">
        <f t="shared" si="146"/>
        <v>0</v>
      </c>
      <c r="K37" s="70">
        <f>SUM((IF(AW21*((2*(IF(ISBLANK(E37),C37,E37)))+IF(ISBLANK(D37),B37,D37)) &lt; 0, 0, (AW21*((2*(IF(ISBLANK(E37),C37,E37)))+IF(ISBLANK(D37),B37,D37)))))/3)</f>
        <v>0</v>
      </c>
      <c r="L37" s="70">
        <f>SUM((IF(BB21*((3*(IF(ISBLANK(E37),C37,E37)))+IF(ISBLANK(D37),B37,D37)) &lt; 0, 0, (BB21*((3*(IF(ISBLANK(E37),C37,E37)))+IF(ISBLANK(D37),B37,D37)))))/3)</f>
        <v>0</v>
      </c>
      <c r="M37" s="70">
        <f>SUM((IF(BG21*((4*(IF(ISBLANK(E37),C37,E37)))+IF(ISBLANK(D37),B37,D37)) &lt; 0, 0, (BG21*((4*(IF(ISBLANK(E37),C37,E37)))+IF(ISBLANK(D37),B37,D37)))))/3)</f>
        <v>0</v>
      </c>
      <c r="N37" s="70">
        <f>SUM((IF(BL21*((5*(IF(ISBLANK(E37),C37,E37)))+IF(ISBLANK(D37),B37,D37)) &lt; 0, 0, (BL21*((5*(IF(ISBLANK(E37),C37,E37)))+IF(ISBLANK(D37),B37,D37)))))/3)</f>
        <v>0</v>
      </c>
      <c r="O37" s="282">
        <f t="shared" si="147"/>
        <v>0</v>
      </c>
      <c r="P37" s="70">
        <f>SUM((IF(BQ21*((6*(IF(ISBLANK(E37),C37,E37)))+IF(ISBLANK(D37),B37,D37)) &lt; 0, 0, (BQ21*((6*(IF(ISBLANK(E37),C37,E37)))+IF(ISBLANK(D37),B37,D37)))))/3)</f>
        <v>0</v>
      </c>
      <c r="Q37" s="70">
        <f>SUM((IF(BV21*((7*(IF(ISBLANK(E37),C37,E37)))+IF(ISBLANK(D37),B37,D37)) &lt; 0, 0, (BV21*((7*(IF(ISBLANK(E37),C37,E37)))+IF(ISBLANK(D37),B37,D37)))))/3)</f>
        <v>0</v>
      </c>
      <c r="R37" s="70">
        <f>SUM((IF(CA21*((8*(IF(ISBLANK(E37),C37,E37)))+IF(ISBLANK(D37),B37,D37)) &lt; 0, 0, (CA21*((8*(IF(ISBLANK(E37),C37,E37)))+IF(ISBLANK(D37),B37,D37)))))/3)</f>
        <v>0</v>
      </c>
      <c r="S37" s="70">
        <f>SUM((IF(CF21*((9*(IF(ISBLANK(E37),C37,E37)))+IF(ISBLANK(D37),B37,D37)) &lt; 0, 0, (CF21*((9*(IF(ISBLANK(E37),C37,E37)))+IF(ISBLANK(D37),B37,D37)))))/3)</f>
        <v>0</v>
      </c>
      <c r="T37" s="305">
        <f t="shared" si="148"/>
        <v>0</v>
      </c>
      <c r="U37" s="281">
        <f>SUM((IF((U21*U18)*((10*(IF(ISBLANK(E37),C37,E37)))+IF(ISBLANK(D37),B37,D37)) &lt; 0, 0, ((U21*U18)*((10*(IF(ISBLANK(E37),C37,E37)))+IF(ISBLANK(D37),B37,D37))))))</f>
        <v>0</v>
      </c>
      <c r="V37" s="282">
        <f>SUM((IF((V21*V18)*((10*(IF(ISBLANK(E37),C37,E37)))+IF(ISBLANK(D37),B37,D37)) &lt; 0, 0, ((V21*V18)*((10*(IF(ISBLANK(E37),C37,E37)))+IF(ISBLANK(D37),B37,D37))))))</f>
        <v>0</v>
      </c>
      <c r="W37" s="283">
        <f>SUM((IF((W21*W18)*((10*(IF(ISBLANK(E37),C37,E37)))+IF(ISBLANK(D37),B37,D37)) &lt; 0, 0, ((W21*W18)*((10*(IF(ISBLANK(E37),C37,E37)))+IF(ISBLANK(D37),B37,D37))))))</f>
        <v>0</v>
      </c>
      <c r="X37" s="177"/>
      <c r="Y37" s="505">
        <v>0</v>
      </c>
      <c r="Z37" s="70">
        <f t="shared" si="149"/>
        <v>0</v>
      </c>
      <c r="AA37" s="70">
        <f t="shared" si="150"/>
        <v>0</v>
      </c>
      <c r="AB37" s="70">
        <f t="shared" si="151"/>
        <v>0</v>
      </c>
      <c r="AC37" s="282">
        <f>SUM(Z37:AB37)</f>
        <v>0</v>
      </c>
      <c r="AD37" s="74"/>
      <c r="AE37" s="70">
        <f t="shared" si="152"/>
        <v>0</v>
      </c>
      <c r="AF37" s="70">
        <f t="shared" si="153"/>
        <v>0</v>
      </c>
      <c r="AG37" s="70">
        <f t="shared" si="154"/>
        <v>0</v>
      </c>
      <c r="AH37" s="282">
        <f>SUM(AE37:AG37)</f>
        <v>0</v>
      </c>
      <c r="AI37" s="74"/>
      <c r="AJ37" s="70">
        <f t="shared" si="155"/>
        <v>0</v>
      </c>
      <c r="AK37" s="70">
        <f t="shared" si="156"/>
        <v>0</v>
      </c>
      <c r="AL37" s="70">
        <f t="shared" si="157"/>
        <v>0</v>
      </c>
      <c r="AM37" s="282">
        <f>SUM(AJ37:AL37)</f>
        <v>0</v>
      </c>
      <c r="AN37" s="74"/>
      <c r="AO37" s="70">
        <f t="shared" si="158"/>
        <v>0</v>
      </c>
      <c r="AP37" s="70">
        <f t="shared" si="159"/>
        <v>0</v>
      </c>
      <c r="AQ37" s="70">
        <f t="shared" si="160"/>
        <v>0</v>
      </c>
      <c r="AR37" s="282">
        <f>SUM(AO37:AQ37)</f>
        <v>0</v>
      </c>
      <c r="AS37" s="74"/>
      <c r="AT37" s="70">
        <f t="shared" si="161"/>
        <v>0</v>
      </c>
      <c r="AU37" s="70">
        <f t="shared" si="162"/>
        <v>0</v>
      </c>
      <c r="AV37" s="70">
        <f t="shared" si="163"/>
        <v>0</v>
      </c>
      <c r="AW37" s="282">
        <f>SUM(AT37:AV37)</f>
        <v>0</v>
      </c>
      <c r="AX37" s="74"/>
      <c r="AY37" s="70">
        <f t="shared" si="164"/>
        <v>0</v>
      </c>
      <c r="AZ37" s="70">
        <f>L37</f>
        <v>0</v>
      </c>
      <c r="BA37" s="70">
        <f t="shared" si="166"/>
        <v>0</v>
      </c>
      <c r="BB37" s="282">
        <f>SUM(AY37:BA37)</f>
        <v>0</v>
      </c>
      <c r="BC37" s="74"/>
      <c r="BD37" s="70">
        <f t="shared" si="167"/>
        <v>0</v>
      </c>
      <c r="BE37" s="70">
        <f t="shared" si="168"/>
        <v>0</v>
      </c>
      <c r="BF37" s="70">
        <f t="shared" si="169"/>
        <v>0</v>
      </c>
      <c r="BG37" s="282">
        <f>SUM(BD37:BF37)</f>
        <v>0</v>
      </c>
      <c r="BH37" s="74"/>
      <c r="BI37" s="70">
        <f t="shared" si="170"/>
        <v>0</v>
      </c>
      <c r="BJ37" s="70">
        <f t="shared" si="171"/>
        <v>0</v>
      </c>
      <c r="BK37" s="70">
        <f t="shared" si="172"/>
        <v>0</v>
      </c>
      <c r="BL37" s="282">
        <f>SUM(BI37:BK37)</f>
        <v>0</v>
      </c>
      <c r="BM37" s="74"/>
      <c r="BN37" s="70">
        <f t="shared" si="173"/>
        <v>0</v>
      </c>
      <c r="BO37" s="70">
        <f t="shared" si="174"/>
        <v>0</v>
      </c>
      <c r="BP37" s="70">
        <f t="shared" si="175"/>
        <v>0</v>
      </c>
      <c r="BQ37" s="282">
        <f>SUM(BN37:BP37)</f>
        <v>0</v>
      </c>
      <c r="BR37" s="74"/>
      <c r="BS37" s="70">
        <f t="shared" si="176"/>
        <v>0</v>
      </c>
      <c r="BT37" s="70">
        <f t="shared" si="177"/>
        <v>0</v>
      </c>
      <c r="BU37" s="70">
        <f t="shared" si="178"/>
        <v>0</v>
      </c>
      <c r="BV37" s="282">
        <f>SUM(BS37:BU37)</f>
        <v>0</v>
      </c>
      <c r="BW37" s="74"/>
      <c r="BX37" s="70">
        <f t="shared" si="179"/>
        <v>0</v>
      </c>
      <c r="BY37" s="70">
        <f t="shared" si="180"/>
        <v>0</v>
      </c>
      <c r="BZ37" s="70">
        <f t="shared" si="181"/>
        <v>0</v>
      </c>
      <c r="CA37" s="282">
        <f>SUM(BX37:BZ37)</f>
        <v>0</v>
      </c>
      <c r="CB37" s="74"/>
      <c r="CC37" s="70">
        <f t="shared" si="182"/>
        <v>0</v>
      </c>
      <c r="CD37" s="70">
        <f t="shared" si="183"/>
        <v>0</v>
      </c>
      <c r="CE37" s="70">
        <f t="shared" si="184"/>
        <v>0</v>
      </c>
      <c r="CF37" s="282">
        <f>SUM(CC37:CE37)</f>
        <v>0</v>
      </c>
      <c r="CG37" s="88"/>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1" t="s">
        <v>206</v>
      </c>
      <c r="B38" s="281">
        <v>2000</v>
      </c>
      <c r="C38" s="305">
        <v>5000</v>
      </c>
      <c r="D38" s="116"/>
      <c r="E38" s="119"/>
      <c r="F38" s="104">
        <f>SUM((IF(ISBLANK(D38),B38,D38)))</f>
        <v>2000</v>
      </c>
      <c r="G38" s="70">
        <f>SUM((IF(ISBLANK(D38),B38,D38)))</f>
        <v>2000</v>
      </c>
      <c r="H38" s="70">
        <f>SUM((IF(ISBLANK(D38),B38,D38)))</f>
        <v>2000</v>
      </c>
      <c r="I38" s="70">
        <f>SUM((IF(ISBLANK(D38),B38,D38)))</f>
        <v>2000</v>
      </c>
      <c r="J38" s="282">
        <f t="shared" si="146"/>
        <v>24000</v>
      </c>
      <c r="K38" s="70">
        <f>SUM((IF(ISBLANK(D38),B38,D38))+(IF(ISBLANK(E38),C38,E38)))</f>
        <v>7000</v>
      </c>
      <c r="L38" s="70">
        <f>SUM((IF(ISBLANK(D38),B38,D38))+(IF(ISBLANK(E38),C38,E38)))</f>
        <v>7000</v>
      </c>
      <c r="M38" s="70">
        <f>SUM((IF(ISBLANK(D38),B38,D38))+(IF(ISBLANK(E38),C38,E38)))</f>
        <v>7000</v>
      </c>
      <c r="N38" s="70">
        <f>SUM((IF(ISBLANK(D38),B38,D38))+(IF(ISBLANK(E38),C38,E38)))</f>
        <v>7000</v>
      </c>
      <c r="O38" s="282">
        <f t="shared" si="147"/>
        <v>84000</v>
      </c>
      <c r="P38" s="70">
        <f>SUM((IF(ISBLANK(D38),B38,D38))+(IF(ISBLANK(E38),C38,E38)))</f>
        <v>7000</v>
      </c>
      <c r="Q38" s="70">
        <f>SUM((IF(ISBLANK(D38),B38,D38))+(IF(ISBLANK(E38),C38,E38)))</f>
        <v>7000</v>
      </c>
      <c r="R38" s="70">
        <f>SUM((IF(ISBLANK(D38),B38,D38))+(IF(ISBLANK(E38),C38,E38)))</f>
        <v>7000</v>
      </c>
      <c r="S38" s="70">
        <f>SUM((IF(ISBLANK(D38),B38,D38))+(IF(ISBLANK(E38),C38,E38)))</f>
        <v>7000</v>
      </c>
      <c r="T38" s="305">
        <f t="shared" si="148"/>
        <v>84000</v>
      </c>
      <c r="U38" s="281">
        <f>SUM(S38*12)</f>
        <v>84000</v>
      </c>
      <c r="V38" s="282">
        <f>SUM(S38*12)</f>
        <v>84000</v>
      </c>
      <c r="W38" s="283">
        <f>SUM(S38*12)</f>
        <v>84000</v>
      </c>
      <c r="X38" s="177"/>
      <c r="Y38" s="505">
        <v>45000</v>
      </c>
      <c r="Z38" s="70">
        <f t="shared" si="149"/>
        <v>2000</v>
      </c>
      <c r="AA38" s="70">
        <f t="shared" si="150"/>
        <v>2000</v>
      </c>
      <c r="AB38" s="70">
        <f t="shared" si="151"/>
        <v>2000</v>
      </c>
      <c r="AC38" s="282">
        <f t="shared" si="134"/>
        <v>6000</v>
      </c>
      <c r="AD38" s="74"/>
      <c r="AE38" s="70">
        <f t="shared" si="152"/>
        <v>2000</v>
      </c>
      <c r="AF38" s="70">
        <f t="shared" si="153"/>
        <v>2000</v>
      </c>
      <c r="AG38" s="70">
        <f t="shared" si="154"/>
        <v>2000</v>
      </c>
      <c r="AH38" s="282">
        <f t="shared" si="135"/>
        <v>6000</v>
      </c>
      <c r="AI38" s="74"/>
      <c r="AJ38" s="70">
        <f t="shared" si="155"/>
        <v>2000</v>
      </c>
      <c r="AK38" s="70">
        <f t="shared" si="156"/>
        <v>2000</v>
      </c>
      <c r="AL38" s="70">
        <f t="shared" si="157"/>
        <v>2000</v>
      </c>
      <c r="AM38" s="282">
        <f t="shared" si="136"/>
        <v>6000</v>
      </c>
      <c r="AN38" s="74"/>
      <c r="AO38" s="70">
        <f t="shared" si="158"/>
        <v>2000</v>
      </c>
      <c r="AP38" s="70">
        <f t="shared" si="159"/>
        <v>2000</v>
      </c>
      <c r="AQ38" s="70">
        <f t="shared" si="160"/>
        <v>2000</v>
      </c>
      <c r="AR38" s="282">
        <f t="shared" si="137"/>
        <v>6000</v>
      </c>
      <c r="AS38" s="74"/>
      <c r="AT38" s="70">
        <f t="shared" si="161"/>
        <v>7000</v>
      </c>
      <c r="AU38" s="70">
        <f t="shared" si="162"/>
        <v>7000</v>
      </c>
      <c r="AV38" s="70">
        <f t="shared" si="163"/>
        <v>7000</v>
      </c>
      <c r="AW38" s="282">
        <f t="shared" si="138"/>
        <v>21000</v>
      </c>
      <c r="AX38" s="74"/>
      <c r="AY38" s="70">
        <f t="shared" si="164"/>
        <v>7000</v>
      </c>
      <c r="AZ38" s="70">
        <f t="shared" si="165"/>
        <v>7000</v>
      </c>
      <c r="BA38" s="70">
        <f t="shared" si="166"/>
        <v>7000</v>
      </c>
      <c r="BB38" s="282">
        <f t="shared" si="139"/>
        <v>21000</v>
      </c>
      <c r="BC38" s="74"/>
      <c r="BD38" s="70">
        <f t="shared" si="167"/>
        <v>7000</v>
      </c>
      <c r="BE38" s="70">
        <f t="shared" si="168"/>
        <v>7000</v>
      </c>
      <c r="BF38" s="70">
        <f t="shared" si="169"/>
        <v>7000</v>
      </c>
      <c r="BG38" s="282">
        <f t="shared" si="140"/>
        <v>21000</v>
      </c>
      <c r="BH38" s="74"/>
      <c r="BI38" s="70">
        <f t="shared" si="170"/>
        <v>7000</v>
      </c>
      <c r="BJ38" s="70">
        <f t="shared" si="171"/>
        <v>7000</v>
      </c>
      <c r="BK38" s="70">
        <f t="shared" si="172"/>
        <v>7000</v>
      </c>
      <c r="BL38" s="282">
        <f t="shared" si="141"/>
        <v>21000</v>
      </c>
      <c r="BM38" s="74"/>
      <c r="BN38" s="70">
        <f t="shared" si="173"/>
        <v>7000</v>
      </c>
      <c r="BO38" s="70">
        <f t="shared" si="174"/>
        <v>7000</v>
      </c>
      <c r="BP38" s="70">
        <f t="shared" si="175"/>
        <v>7000</v>
      </c>
      <c r="BQ38" s="282">
        <f t="shared" si="142"/>
        <v>21000</v>
      </c>
      <c r="BR38" s="74"/>
      <c r="BS38" s="70">
        <f t="shared" si="176"/>
        <v>7000</v>
      </c>
      <c r="BT38" s="70">
        <f t="shared" si="177"/>
        <v>7000</v>
      </c>
      <c r="BU38" s="70">
        <f t="shared" si="178"/>
        <v>7000</v>
      </c>
      <c r="BV38" s="282">
        <f t="shared" si="143"/>
        <v>21000</v>
      </c>
      <c r="BW38" s="74"/>
      <c r="BX38" s="70">
        <f t="shared" si="179"/>
        <v>7000</v>
      </c>
      <c r="BY38" s="70">
        <f t="shared" si="180"/>
        <v>7000</v>
      </c>
      <c r="BZ38" s="70">
        <f t="shared" si="181"/>
        <v>7000</v>
      </c>
      <c r="CA38" s="282">
        <f t="shared" si="144"/>
        <v>21000</v>
      </c>
      <c r="CB38" s="74"/>
      <c r="CC38" s="70">
        <f t="shared" si="182"/>
        <v>7000</v>
      </c>
      <c r="CD38" s="70">
        <f t="shared" si="183"/>
        <v>7000</v>
      </c>
      <c r="CE38" s="70">
        <f t="shared" si="184"/>
        <v>7000</v>
      </c>
      <c r="CF38" s="282">
        <f t="shared" si="145"/>
        <v>21000</v>
      </c>
      <c r="CG38" s="88"/>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1" t="s">
        <v>271</v>
      </c>
      <c r="B39" s="260">
        <v>0.2</v>
      </c>
      <c r="C39" s="293">
        <v>0</v>
      </c>
      <c r="D39" s="118"/>
      <c r="E39" s="117"/>
      <c r="F39" s="130">
        <v>0</v>
      </c>
      <c r="G39" s="70">
        <f>IF(IF(F30&gt;0,F30*((0*(IF(ISBLANK(E39),C39,E39)))+(IF(ISBLANK(D39),B39,D39))),0)&lt;0,0,IF(F30&gt;0,F30*((0*(IF(ISBLANK(E39),C39,E39)))+(IF(ISBLANK(D39),B39,D39))),0))/3</f>
        <v>0</v>
      </c>
      <c r="H39" s="70">
        <f>IF(IF(G30&gt;0,G30*((0*(IF(ISBLANK(E39),C39,E39)))+(IF(ISBLANK(D39),B39,D39))),0)&lt;0,0,IF(G30&gt;0,G30*((0*(IF(ISBLANK(E39),C39,E39)))+(IF(ISBLANK(D39),B39,D39))),0))/3</f>
        <v>0</v>
      </c>
      <c r="I39" s="70">
        <f>IF(IF(H30&gt;0,H30*((1*(IF(ISBLANK(E39),C39,E39)))+(IF(ISBLANK(D39),B39,D39))),0)&lt;0,0,IF(H30&gt;0,H30*((1*(IF(ISBLANK(E39),C39,E39)))+(IF(ISBLANK(D39),B39,D39))),0))/3</f>
        <v>0</v>
      </c>
      <c r="J39" s="282">
        <f t="shared" si="146"/>
        <v>0</v>
      </c>
      <c r="K39" s="70">
        <f>IF(IF(I30&gt;0,I30*((2*(IF(ISBLANK(E39),C39,E39)))+(IF(ISBLANK(D39),B39,D39))),0)&lt;0,0,IF(I30&gt;0,I30*((2*(IF(ISBLANK(E39),C39,E39)))+(IF(ISBLANK(D39),B39,D39))),0))/3</f>
        <v>0</v>
      </c>
      <c r="L39" s="70">
        <f>IF(IF(K30&gt;0,K30*((3*(IF(ISBLANK(E39),C39,E39)))+(IF(ISBLANK(D39),B39,D39))),0)&lt;0,0,IF(K30&gt;0,K30*((3*(IF(ISBLANK(E39),C39,E39)))+(IF(ISBLANK(D39),B39,D39))),0))/3</f>
        <v>0</v>
      </c>
      <c r="M39" s="70">
        <f>IF(IF(L30&gt;0,L30*((4*(IF(ISBLANK(E39),C39,E39)))+(IF(ISBLANK(D39),B39,D39))),0)&lt;0,0,IF(L30&gt;0,L30*((4*(IF(ISBLANK(E39),C39,E39)))+(IF(ISBLANK(D39),B39,D39))),0))/3</f>
        <v>0</v>
      </c>
      <c r="N39" s="70">
        <f>IF(IF(M30&gt;0,M30*((5*(IF(ISBLANK(E39),C39,E39)))+(IF(ISBLANK(D39),B39,D39))),0)&lt;0,0,IF(M30&gt;0,M30*((5*(IF(ISBLANK(E39),C39,E39)))+(IF(ISBLANK(D39),B39,D39))),0))/3</f>
        <v>0</v>
      </c>
      <c r="O39" s="282">
        <f t="shared" si="147"/>
        <v>0</v>
      </c>
      <c r="P39" s="70">
        <f>IF(IF(N30&gt;0,N30*((6*(IF(ISBLANK(E39),C39,E39)))+(IF(ISBLANK(D39),B39,D39))),0)&lt;0,0,IF(N30&gt;0,N30*((6*(IF(ISBLANK(E39),C39,E39)))+(IF(ISBLANK(D39),B39,D39))),0))/3</f>
        <v>0</v>
      </c>
      <c r="Q39" s="70">
        <f>IF(IF(P30&gt;0,P30*((7*(IF(ISBLANK(E39),C39,E39)))+(IF(ISBLANK(D39),B39,D39))),0)&lt;0,0,IF(P30&gt;0,P30*((7*(IF(ISBLANK(E39),C39,E39)))+(IF(ISBLANK(D39),B39,D39))),0))/3</f>
        <v>0</v>
      </c>
      <c r="R39" s="70">
        <f>IF(IF(Q30&gt;0,Q30*((8*(IF(ISBLANK(E39),C39,E39)))+(IF(ISBLANK(D39),B39,D39))),0)&lt;0,0,IF(Q30&gt;0,Q30*((8*(IF(ISBLANK(E39),C39,E39)))+(IF(ISBLANK(D39),B39,D39))),0))/3</f>
        <v>0</v>
      </c>
      <c r="S39" s="70">
        <f>IF(IF(R30&gt;0,R30*((9*(IF(ISBLANK(E39),C39,E39)))+(IF(ISBLANK(D39),B39,D39))),0)&lt;0,0,IF(R30&gt;0,R30*((9*(IF(ISBLANK(E39),C39,E39)))+(IF(ISBLANK(D39),B39,D39))),0))/3</f>
        <v>0</v>
      </c>
      <c r="T39" s="305">
        <f t="shared" si="148"/>
        <v>0</v>
      </c>
      <c r="U39" s="281">
        <f>SUM((U30*(IF(ISBLANK(D39),B39,D39)+(10*IF(ISBLANK(E39),C39,E39))))+(S30*(IF(ISBLANK(D39),B39,D39)+(10*IF(ISBLANK(E39),C39,E39)))))</f>
        <v>0</v>
      </c>
      <c r="V39" s="282">
        <f>SUM((V30*(IF(ISBLANK(D39),B39,D39)+(11*IF(ISBLANK(E39),C39,E39)))))</f>
        <v>0</v>
      </c>
      <c r="W39" s="283">
        <f>SUM((W30*(IF(ISBLANK(D39),B39,D39)+(12*IF(ISBLANK(E39),C39,E39)))))</f>
        <v>0</v>
      </c>
      <c r="X39" s="177"/>
      <c r="Y39" s="505">
        <v>0</v>
      </c>
      <c r="Z39" s="70">
        <f>F39</f>
        <v>0</v>
      </c>
      <c r="AA39" s="70">
        <f>F39</f>
        <v>0</v>
      </c>
      <c r="AB39" s="70">
        <f>F39</f>
        <v>0</v>
      </c>
      <c r="AC39" s="282">
        <f t="shared" si="134"/>
        <v>0</v>
      </c>
      <c r="AD39" s="74"/>
      <c r="AE39" s="70">
        <f>G39</f>
        <v>0</v>
      </c>
      <c r="AF39" s="70">
        <f>G39</f>
        <v>0</v>
      </c>
      <c r="AG39" s="70">
        <f>G39</f>
        <v>0</v>
      </c>
      <c r="AH39" s="282">
        <f t="shared" si="135"/>
        <v>0</v>
      </c>
      <c r="AI39" s="74"/>
      <c r="AJ39" s="70">
        <f>H39</f>
        <v>0</v>
      </c>
      <c r="AK39" s="70">
        <f>H39</f>
        <v>0</v>
      </c>
      <c r="AL39" s="70">
        <f>H39</f>
        <v>0</v>
      </c>
      <c r="AM39" s="282">
        <f t="shared" si="136"/>
        <v>0</v>
      </c>
      <c r="AN39" s="74"/>
      <c r="AO39" s="70">
        <f>I39</f>
        <v>0</v>
      </c>
      <c r="AP39" s="70">
        <f>I39</f>
        <v>0</v>
      </c>
      <c r="AQ39" s="70">
        <f>I39</f>
        <v>0</v>
      </c>
      <c r="AR39" s="282">
        <f t="shared" si="137"/>
        <v>0</v>
      </c>
      <c r="AS39" s="74"/>
      <c r="AT39" s="70">
        <f>K39</f>
        <v>0</v>
      </c>
      <c r="AU39" s="70">
        <f>K39</f>
        <v>0</v>
      </c>
      <c r="AV39" s="70">
        <f>K39</f>
        <v>0</v>
      </c>
      <c r="AW39" s="282">
        <f t="shared" si="138"/>
        <v>0</v>
      </c>
      <c r="AX39" s="74"/>
      <c r="AY39" s="70">
        <f>L39</f>
        <v>0</v>
      </c>
      <c r="AZ39" s="70">
        <f>L39</f>
        <v>0</v>
      </c>
      <c r="BA39" s="70">
        <f>L39</f>
        <v>0</v>
      </c>
      <c r="BB39" s="282">
        <f t="shared" si="139"/>
        <v>0</v>
      </c>
      <c r="BC39" s="74"/>
      <c r="BD39" s="70">
        <f>M39</f>
        <v>0</v>
      </c>
      <c r="BE39" s="70">
        <f>M39</f>
        <v>0</v>
      </c>
      <c r="BF39" s="70">
        <f>M39</f>
        <v>0</v>
      </c>
      <c r="BG39" s="282">
        <f t="shared" si="140"/>
        <v>0</v>
      </c>
      <c r="BH39" s="74"/>
      <c r="BI39" s="70">
        <f>N39</f>
        <v>0</v>
      </c>
      <c r="BJ39" s="70">
        <f>N39</f>
        <v>0</v>
      </c>
      <c r="BK39" s="70">
        <f>N39</f>
        <v>0</v>
      </c>
      <c r="BL39" s="282">
        <f t="shared" si="141"/>
        <v>0</v>
      </c>
      <c r="BM39" s="74"/>
      <c r="BN39" s="70">
        <f>P39</f>
        <v>0</v>
      </c>
      <c r="BO39" s="70">
        <f>P39</f>
        <v>0</v>
      </c>
      <c r="BP39" s="70">
        <f>P39</f>
        <v>0</v>
      </c>
      <c r="BQ39" s="282">
        <f t="shared" si="142"/>
        <v>0</v>
      </c>
      <c r="BR39" s="74"/>
      <c r="BS39" s="70">
        <f>Q39</f>
        <v>0</v>
      </c>
      <c r="BT39" s="70">
        <f>Q39</f>
        <v>0</v>
      </c>
      <c r="BU39" s="70">
        <f>Q39</f>
        <v>0</v>
      </c>
      <c r="BV39" s="282">
        <f t="shared" si="143"/>
        <v>0</v>
      </c>
      <c r="BW39" s="74"/>
      <c r="BX39" s="70">
        <f>R39</f>
        <v>0</v>
      </c>
      <c r="BY39" s="70">
        <f>R39</f>
        <v>0</v>
      </c>
      <c r="BZ39" s="70">
        <f>R39</f>
        <v>0</v>
      </c>
      <c r="CA39" s="282">
        <f t="shared" si="144"/>
        <v>0</v>
      </c>
      <c r="CB39" s="74"/>
      <c r="CC39" s="70">
        <f>S39</f>
        <v>0</v>
      </c>
      <c r="CD39" s="70">
        <f>S39</f>
        <v>0</v>
      </c>
      <c r="CE39" s="70">
        <f>S39</f>
        <v>0</v>
      </c>
      <c r="CF39" s="282">
        <f t="shared" si="145"/>
        <v>0</v>
      </c>
      <c r="CG39" s="88"/>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1" t="s">
        <v>272</v>
      </c>
      <c r="B40" s="260">
        <v>0.25</v>
      </c>
      <c r="C40" s="293">
        <v>0</v>
      </c>
      <c r="D40" s="118"/>
      <c r="E40" s="117"/>
      <c r="F40" s="130">
        <v>0</v>
      </c>
      <c r="G40" s="70">
        <f>IF(IF(F49&gt;0,F49*((0*(IF(ISBLANK(E40),C40,E40)))+(IF(ISBLANK(D40),B40,D40))),0)&lt;0,0,IF(F49&gt;0,F49*((0*(IF(ISBLANK(E40),C40,E40)))+(IF(ISBLANK(D40),B40,D40))),0))/3</f>
        <v>0</v>
      </c>
      <c r="H40" s="70">
        <f>IF(IF(G49&gt;0,G49*((0*(IF(ISBLANK(E40),C40,E40)))+(IF(ISBLANK(D40),B40,D40))),0)&lt;0,0,IF(G49&gt;0,G49*((0*(IF(ISBLANK(E40),C40,E40)))+(IF(ISBLANK(D40),B40,D40))),0))/3</f>
        <v>0</v>
      </c>
      <c r="I40" s="70">
        <f>IF(IF(H49&gt;0,H49*((1*(IF(ISBLANK(E40),C40,E40)))+(IF(ISBLANK(D40),B40,D40))),0)&lt;0,0,IF(H49&gt;0,H49*((1*(IF(ISBLANK(E40),C40,E40)))+(IF(ISBLANK(D40),B40,D40))),0))/3</f>
        <v>0</v>
      </c>
      <c r="J40" s="282">
        <f t="shared" si="146"/>
        <v>0</v>
      </c>
      <c r="K40" s="70">
        <f>IF(IF(I49&gt;0,I49*((2*(IF(ISBLANK(E40),C40,E40)))+(IF(ISBLANK(D40),B40,D40))),0)&lt;0,0,IF(I49&gt;0,I49*((2*(IF(ISBLANK(E40),C40,E40)))+(IF(ISBLANK(D40),B40,D40))),0))/3</f>
        <v>0</v>
      </c>
      <c r="L40" s="70">
        <f>IF(IF(K49&gt;0,K49*((3*(IF(ISBLANK(E40),C40,E40)))+(IF(ISBLANK(D40),B40,D40))),0)&lt;0,0,IF(K49&gt;0,K49*((3*(IF(ISBLANK(E40),C40,E40)))+(IF(ISBLANK(D40),B40,D40))),0))/3</f>
        <v>0</v>
      </c>
      <c r="M40" s="70">
        <f>IF(IF(L49&gt;0,L49*((4*(IF(ISBLANK(E40),C40,E40)))+(IF(ISBLANK(D40),B40,D40))),0)&lt;0,0,IF(L49&gt;0,L49*((4*(IF(ISBLANK(E40),C40,E40)))+(IF(ISBLANK(D40),B40,D40))),0))/3</f>
        <v>0</v>
      </c>
      <c r="N40" s="70">
        <f>IF(IF(M49&gt;0,M49*((5*(IF(ISBLANK(E40),C40,E40)))+(IF(ISBLANK(D40),B40,D40))),0)&lt;0,0,IF(M49&gt;0,M49*((5*(IF(ISBLANK(E40),C40,E40)))+(IF(ISBLANK(D40),B40,D40))),0))/3</f>
        <v>0</v>
      </c>
      <c r="O40" s="282">
        <f t="shared" si="147"/>
        <v>0</v>
      </c>
      <c r="P40" s="70">
        <f>IF(IF(N49&gt;0,N49*((6*(IF(ISBLANK(E40),C40,E40)))+(IF(ISBLANK(D40),B40,D40))),0)&lt;0,0,IF(N49&gt;0,N49*((6*(IF(ISBLANK(E40),C40,E40)))+(IF(ISBLANK(D40),B40,D40))),0))/3</f>
        <v>0</v>
      </c>
      <c r="Q40" s="70">
        <f>IF(IF(P49&gt;0,P49*((7*(IF(ISBLANK(E40),C40,E40)))+(IF(ISBLANK(D40),B40,D40))),0)&lt;0,0,IF(P49&gt;0,P49*((7*(IF(ISBLANK(E40),C40,E40)))+(IF(ISBLANK(D40),B40,D40))),0))/3</f>
        <v>0</v>
      </c>
      <c r="R40" s="70">
        <f>IF(IF(Q49&gt;0,Q49*((8*(IF(ISBLANK(E40),C40,E40)))+(IF(ISBLANK(D40),B40,D40))),0)&lt;0,0,IF(Q49&gt;0,Q49*((8*(IF(ISBLANK(E40),C40,E40)))+(IF(ISBLANK(D40),B40,D40))),0))/3</f>
        <v>0</v>
      </c>
      <c r="S40" s="70">
        <f>IF(IF(R49&gt;0,R49*((9*(IF(ISBLANK(E40),C40,E40)))+(IF(ISBLANK(D40),B40,D40))),0)&lt;0,0,IF(R49&gt;0,R49*((9*(IF(ISBLANK(E40),C40,E40)))+(IF(ISBLANK(D40),B40,D40))),0))/3</f>
        <v>0</v>
      </c>
      <c r="T40" s="305">
        <f t="shared" si="148"/>
        <v>0</v>
      </c>
      <c r="U40" s="281">
        <f>SUM(IF(S49&lt;0,0,S49*((10*(IF(ISBLANK(E40),C40,E40)))+(IF(ISBLANK(D40),B40,D40)))))</f>
        <v>0</v>
      </c>
      <c r="V40" s="282">
        <f>SUM(IF(U49&lt;0,0,U49*((11*(IF(ISBLANK(E40),C40,E40)))+(IF(ISBLANK(D40),B40,D40)))))</f>
        <v>0</v>
      </c>
      <c r="W40" s="283">
        <f>SUM(IF(V49&lt;0,0,V49*((12*(IF(ISBLANK(E40),C40,E40)))+(IF(ISBLANK(D40),B40,D40)))))</f>
        <v>0</v>
      </c>
      <c r="X40" s="177"/>
      <c r="Y40" s="505">
        <v>0</v>
      </c>
      <c r="Z40" s="70">
        <f>F40</f>
        <v>0</v>
      </c>
      <c r="AA40" s="70">
        <f>F40</f>
        <v>0</v>
      </c>
      <c r="AB40" s="70">
        <f>F40</f>
        <v>0</v>
      </c>
      <c r="AC40" s="282">
        <f t="shared" si="134"/>
        <v>0</v>
      </c>
      <c r="AD40" s="74"/>
      <c r="AE40" s="70">
        <f>G40</f>
        <v>0</v>
      </c>
      <c r="AF40" s="70">
        <f>G40</f>
        <v>0</v>
      </c>
      <c r="AG40" s="70">
        <f>G40</f>
        <v>0</v>
      </c>
      <c r="AH40" s="282">
        <f t="shared" si="135"/>
        <v>0</v>
      </c>
      <c r="AI40" s="74"/>
      <c r="AJ40" s="70">
        <f>H40</f>
        <v>0</v>
      </c>
      <c r="AK40" s="70">
        <f>H40</f>
        <v>0</v>
      </c>
      <c r="AL40" s="70">
        <f>H40</f>
        <v>0</v>
      </c>
      <c r="AM40" s="282">
        <f t="shared" si="136"/>
        <v>0</v>
      </c>
      <c r="AN40" s="74"/>
      <c r="AO40" s="70">
        <f>I40</f>
        <v>0</v>
      </c>
      <c r="AP40" s="70">
        <f>I40</f>
        <v>0</v>
      </c>
      <c r="AQ40" s="70">
        <f>I40</f>
        <v>0</v>
      </c>
      <c r="AR40" s="282">
        <f t="shared" si="137"/>
        <v>0</v>
      </c>
      <c r="AS40" s="74"/>
      <c r="AT40" s="70">
        <f>K40</f>
        <v>0</v>
      </c>
      <c r="AU40" s="70">
        <f>K40</f>
        <v>0</v>
      </c>
      <c r="AV40" s="70">
        <f>K40</f>
        <v>0</v>
      </c>
      <c r="AW40" s="282">
        <f t="shared" si="138"/>
        <v>0</v>
      </c>
      <c r="AX40" s="74"/>
      <c r="AY40" s="70">
        <f>L40</f>
        <v>0</v>
      </c>
      <c r="AZ40" s="70">
        <f>L40</f>
        <v>0</v>
      </c>
      <c r="BA40" s="70">
        <f>L40</f>
        <v>0</v>
      </c>
      <c r="BB40" s="282">
        <f t="shared" si="139"/>
        <v>0</v>
      </c>
      <c r="BC40" s="74"/>
      <c r="BD40" s="70">
        <f>M40</f>
        <v>0</v>
      </c>
      <c r="BE40" s="70">
        <f>M40</f>
        <v>0</v>
      </c>
      <c r="BF40" s="70">
        <f>M40</f>
        <v>0</v>
      </c>
      <c r="BG40" s="282">
        <f t="shared" si="140"/>
        <v>0</v>
      </c>
      <c r="BH40" s="74"/>
      <c r="BI40" s="70">
        <f>N40</f>
        <v>0</v>
      </c>
      <c r="BJ40" s="70">
        <f>N40</f>
        <v>0</v>
      </c>
      <c r="BK40" s="70">
        <f>N40</f>
        <v>0</v>
      </c>
      <c r="BL40" s="282">
        <f t="shared" si="141"/>
        <v>0</v>
      </c>
      <c r="BM40" s="74"/>
      <c r="BN40" s="70">
        <f>P40</f>
        <v>0</v>
      </c>
      <c r="BO40" s="70">
        <f>P40</f>
        <v>0</v>
      </c>
      <c r="BP40" s="70">
        <f>P40</f>
        <v>0</v>
      </c>
      <c r="BQ40" s="282">
        <f t="shared" si="142"/>
        <v>0</v>
      </c>
      <c r="BR40" s="74"/>
      <c r="BS40" s="70">
        <f>Q40</f>
        <v>0</v>
      </c>
      <c r="BT40" s="70">
        <f>Q40</f>
        <v>0</v>
      </c>
      <c r="BU40" s="70">
        <f>Q40</f>
        <v>0</v>
      </c>
      <c r="BV40" s="282">
        <f t="shared" si="143"/>
        <v>0</v>
      </c>
      <c r="BW40" s="74"/>
      <c r="BX40" s="70">
        <f>R40</f>
        <v>0</v>
      </c>
      <c r="BY40" s="70">
        <f>R40</f>
        <v>0</v>
      </c>
      <c r="BZ40" s="70">
        <f>R40</f>
        <v>0</v>
      </c>
      <c r="CA40" s="282">
        <f t="shared" si="144"/>
        <v>0</v>
      </c>
      <c r="CB40" s="74"/>
      <c r="CC40" s="70">
        <f>S40</f>
        <v>0</v>
      </c>
      <c r="CD40" s="70">
        <f>S40</f>
        <v>0</v>
      </c>
      <c r="CE40" s="70">
        <f>S40</f>
        <v>0</v>
      </c>
      <c r="CF40" s="282">
        <f t="shared" si="145"/>
        <v>0</v>
      </c>
      <c r="CG40" s="88"/>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1" t="s">
        <v>273</v>
      </c>
      <c r="B41" s="281">
        <v>2500</v>
      </c>
      <c r="C41" s="305">
        <v>750</v>
      </c>
      <c r="D41" s="116"/>
      <c r="E41" s="119"/>
      <c r="F41" s="104">
        <f>IF(ISBLANK(D41),B41,D41)</f>
        <v>2500</v>
      </c>
      <c r="G41" s="70">
        <f>SUM((IF(F49&gt;0,IF(ISBLANK(E41),C41,E41),0)+F41))</f>
        <v>2500</v>
      </c>
      <c r="H41" s="70">
        <f>SUM((IF(G49&gt;0,IF(ISBLANK(E41),C41,E41),0)+G41))</f>
        <v>2500</v>
      </c>
      <c r="I41" s="70">
        <f>SUM((IF(H49&gt;0,IF(ISBLANK(E41),C41,E41),0)+H41))</f>
        <v>2500</v>
      </c>
      <c r="J41" s="282">
        <f t="shared" si="146"/>
        <v>30000</v>
      </c>
      <c r="K41" s="70">
        <f>SUM((IF(I49&gt;0,IF(ISBLANK(E41),C41,E41),0)+I41))</f>
        <v>2500</v>
      </c>
      <c r="L41" s="70">
        <f>SUM((IF(K49&gt;0,IF(ISBLANK(E41),C41,E41),0)+K41))</f>
        <v>2500</v>
      </c>
      <c r="M41" s="70">
        <f>SUM((IF(L49&gt;0,IF(ISBLANK(E41),C41,E41),0)+L41))</f>
        <v>2500</v>
      </c>
      <c r="N41" s="70">
        <f>SUM((IF(M49&gt;0,IF(ISBLANK(E41),C41,E41),0)+M41))</f>
        <v>2500</v>
      </c>
      <c r="O41" s="282">
        <f t="shared" si="147"/>
        <v>30000</v>
      </c>
      <c r="P41" s="70">
        <f>SUM((IF(N49&gt;0,IF(ISBLANK(E41),C41,E41),0)+N41))</f>
        <v>2500</v>
      </c>
      <c r="Q41" s="70">
        <f>SUM((IF(P49&gt;0,IF(ISBLANK(E41),C41,E41),0)+P41))</f>
        <v>2500</v>
      </c>
      <c r="R41" s="70">
        <f>SUM((IF(Q49&gt;0,IF(ISBLANK(E41),C41,E41),0)+Q41))</f>
        <v>2500</v>
      </c>
      <c r="S41" s="70">
        <f>SUM((IF(R49&gt;0,IF(ISBLANK(E41),C41,E41),0)+R41))</f>
        <v>2500</v>
      </c>
      <c r="T41" s="305">
        <f t="shared" si="148"/>
        <v>30000</v>
      </c>
      <c r="U41" s="281">
        <f>SUM((IF(S49&gt;0,IF(ISBLANK(E41),C41,E41),0)+S41))</f>
        <v>2500</v>
      </c>
      <c r="V41" s="282">
        <f>SUM((IF(U49&gt;0,IF(ISBLANK(E41),C41,E41),0)+U41))</f>
        <v>2500</v>
      </c>
      <c r="W41" s="283">
        <f>SUM((IF(V49&gt;0,IF(ISBLANK(E41),C41,E41),0)+V41))</f>
        <v>2500</v>
      </c>
      <c r="X41" s="177"/>
      <c r="Y41" s="505">
        <v>55000</v>
      </c>
      <c r="Z41" s="70">
        <f t="shared" si="149"/>
        <v>2500</v>
      </c>
      <c r="AA41" s="70">
        <f t="shared" si="150"/>
        <v>2500</v>
      </c>
      <c r="AB41" s="70">
        <f t="shared" si="151"/>
        <v>2500</v>
      </c>
      <c r="AC41" s="282">
        <f t="shared" si="134"/>
        <v>7500</v>
      </c>
      <c r="AD41" s="74"/>
      <c r="AE41" s="70">
        <f t="shared" si="152"/>
        <v>2500</v>
      </c>
      <c r="AF41" s="70">
        <f>G41</f>
        <v>2500</v>
      </c>
      <c r="AG41" s="70">
        <f>G41</f>
        <v>2500</v>
      </c>
      <c r="AH41" s="282">
        <f t="shared" si="135"/>
        <v>7500</v>
      </c>
      <c r="AI41" s="74"/>
      <c r="AJ41" s="70">
        <f>H41</f>
        <v>2500</v>
      </c>
      <c r="AK41" s="70">
        <f>H41</f>
        <v>2500</v>
      </c>
      <c r="AL41" s="70">
        <f>H41</f>
        <v>2500</v>
      </c>
      <c r="AM41" s="282">
        <f t="shared" si="136"/>
        <v>7500</v>
      </c>
      <c r="AN41" s="74"/>
      <c r="AO41" s="70">
        <f t="shared" si="158"/>
        <v>2500</v>
      </c>
      <c r="AP41" s="70">
        <f t="shared" si="159"/>
        <v>2500</v>
      </c>
      <c r="AQ41" s="70">
        <f t="shared" si="160"/>
        <v>2500</v>
      </c>
      <c r="AR41" s="282">
        <f t="shared" si="137"/>
        <v>7500</v>
      </c>
      <c r="AS41" s="74"/>
      <c r="AT41" s="70">
        <f t="shared" si="161"/>
        <v>2500</v>
      </c>
      <c r="AU41" s="70">
        <f t="shared" si="162"/>
        <v>2500</v>
      </c>
      <c r="AV41" s="70">
        <f t="shared" si="163"/>
        <v>2500</v>
      </c>
      <c r="AW41" s="282">
        <f t="shared" si="138"/>
        <v>7500</v>
      </c>
      <c r="AX41" s="74"/>
      <c r="AY41" s="70">
        <f t="shared" si="164"/>
        <v>2500</v>
      </c>
      <c r="AZ41" s="70">
        <f t="shared" si="165"/>
        <v>2500</v>
      </c>
      <c r="BA41" s="70">
        <f t="shared" si="166"/>
        <v>2500</v>
      </c>
      <c r="BB41" s="282">
        <f t="shared" si="139"/>
        <v>7500</v>
      </c>
      <c r="BC41" s="74"/>
      <c r="BD41" s="70">
        <f t="shared" si="167"/>
        <v>2500</v>
      </c>
      <c r="BE41" s="70">
        <f t="shared" si="168"/>
        <v>2500</v>
      </c>
      <c r="BF41" s="70">
        <f t="shared" si="169"/>
        <v>2500</v>
      </c>
      <c r="BG41" s="282">
        <f t="shared" si="140"/>
        <v>7500</v>
      </c>
      <c r="BH41" s="74"/>
      <c r="BI41" s="70">
        <f>N41</f>
        <v>2500</v>
      </c>
      <c r="BJ41" s="70">
        <f t="shared" si="171"/>
        <v>2500</v>
      </c>
      <c r="BK41" s="70">
        <f t="shared" si="172"/>
        <v>2500</v>
      </c>
      <c r="BL41" s="282">
        <f t="shared" si="141"/>
        <v>7500</v>
      </c>
      <c r="BM41" s="74"/>
      <c r="BN41" s="70">
        <f t="shared" si="173"/>
        <v>2500</v>
      </c>
      <c r="BO41" s="70">
        <f t="shared" si="174"/>
        <v>2500</v>
      </c>
      <c r="BP41" s="70">
        <f t="shared" si="175"/>
        <v>2500</v>
      </c>
      <c r="BQ41" s="282">
        <f t="shared" si="142"/>
        <v>7500</v>
      </c>
      <c r="BR41" s="74"/>
      <c r="BS41" s="70">
        <f t="shared" si="176"/>
        <v>2500</v>
      </c>
      <c r="BT41" s="70">
        <f t="shared" si="177"/>
        <v>2500</v>
      </c>
      <c r="BU41" s="70">
        <f t="shared" si="178"/>
        <v>2500</v>
      </c>
      <c r="BV41" s="282">
        <f t="shared" si="143"/>
        <v>7500</v>
      </c>
      <c r="BW41" s="74"/>
      <c r="BX41" s="70">
        <f t="shared" si="179"/>
        <v>2500</v>
      </c>
      <c r="BY41" s="70">
        <f t="shared" si="180"/>
        <v>2500</v>
      </c>
      <c r="BZ41" s="70">
        <f t="shared" si="181"/>
        <v>2500</v>
      </c>
      <c r="CA41" s="282">
        <f t="shared" si="144"/>
        <v>7500</v>
      </c>
      <c r="CB41" s="74"/>
      <c r="CC41" s="70">
        <f t="shared" si="182"/>
        <v>2500</v>
      </c>
      <c r="CD41" s="70">
        <f t="shared" si="183"/>
        <v>2500</v>
      </c>
      <c r="CE41" s="70">
        <f t="shared" si="184"/>
        <v>2500</v>
      </c>
      <c r="CF41" s="282">
        <f t="shared" si="145"/>
        <v>7500</v>
      </c>
      <c r="CG41" s="88"/>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1" t="s">
        <v>274</v>
      </c>
      <c r="B42" s="281">
        <v>2000</v>
      </c>
      <c r="C42" s="304">
        <v>0.01</v>
      </c>
      <c r="D42" s="116"/>
      <c r="E42" s="120"/>
      <c r="F42" s="104">
        <f>SUM((IF(ISBLANK(D42),B42,D42))+(IF(ISBLANK(E42),C42,E42)*F18))</f>
        <v>2021.4585826253456</v>
      </c>
      <c r="G42" s="70">
        <f>SUM((IF(ISBLANK(D42),B42,D42))+(IF(ISBLANK(E42),C42,E42)*G18))</f>
        <v>2051.2152625027347</v>
      </c>
      <c r="H42" s="70">
        <f>SUM((IF(ISBLANK(D42),B42,D42))+(IF(ISBLANK(E42),C42,E42)*H18))</f>
        <v>2167.8813315982484</v>
      </c>
      <c r="I42" s="70">
        <f>SUM((IF(ISBLANK(D42),B42,D42))+(IF(ISBLANK(E42),C42,E42)*I18))</f>
        <v>2267.879652617034</v>
      </c>
      <c r="J42" s="282">
        <f t="shared" si="146"/>
        <v>25525.304488030088</v>
      </c>
      <c r="K42" s="70">
        <f>SUM((IF(ISBLANK(D42),B42,D42))+(IF(ISBLANK(E42),C42,E42)*K18))</f>
        <v>2334.5461406794052</v>
      </c>
      <c r="L42" s="70">
        <f>SUM((IF(ISBLANK(D42),B42,D42))+(IF(ISBLANK(E42),C42,E42)*L18))</f>
        <v>2384.5459733896059</v>
      </c>
      <c r="M42" s="70">
        <f>SUM((IF(ISBLANK(D42),B42,D42))+(IF(ISBLANK(E42),C42,E42)*M18))</f>
        <v>2384.5459733896059</v>
      </c>
      <c r="N42" s="70">
        <f>SUM((IF(ISBLANK(D42),B42,D42))+(IF(ISBLANK(E42),C42,E42)*N18))</f>
        <v>2384.5459733896059</v>
      </c>
      <c r="O42" s="282">
        <f t="shared" si="147"/>
        <v>28464.55218254467</v>
      </c>
      <c r="P42" s="70">
        <f>SUM((IF(ISBLANK(D42),B42,D42))+(IF(ISBLANK(E42),C42,E42)*P18))</f>
        <v>2384.5459733896059</v>
      </c>
      <c r="Q42" s="70">
        <f>SUM((IF(ISBLANK(D42),B42,D42))+(IF(ISBLANK(E42),C42,E42)*Q18))</f>
        <v>2384.5459733896059</v>
      </c>
      <c r="R42" s="70">
        <f>SUM((IF(ISBLANK(D42),B42,D42))+(IF(ISBLANK(E42),C42,E42)*R18))</f>
        <v>2384.5459733896059</v>
      </c>
      <c r="S42" s="70">
        <f>SUM((IF(ISBLANK(D42),B42,D42))+(IF(ISBLANK(E42),C42,E42)*S18))</f>
        <v>2384.5459733896059</v>
      </c>
      <c r="T42" s="305">
        <f t="shared" si="148"/>
        <v>28614.551680675271</v>
      </c>
      <c r="U42" s="281">
        <f>SUM((IF(ISBLANK(D42),B42,D42))+(IF(ISBLANK(E42),C42,E42)*U18))*12</f>
        <v>28614.551680675271</v>
      </c>
      <c r="V42" s="282">
        <f>SUM((IF(ISBLANK(D42),B42,D42))+(IF(ISBLANK(E42),C42,E42)*V18))*12</f>
        <v>28614.551680675271</v>
      </c>
      <c r="W42" s="283">
        <f>SUM((IF(ISBLANK(D42),B42,D42))+(IF(ISBLANK(E42),C42,E42)*W18))*12</f>
        <v>28614.551680675271</v>
      </c>
      <c r="X42" s="177"/>
      <c r="Y42" s="505">
        <f>SUM(10105+7000)</f>
        <v>17105</v>
      </c>
      <c r="Z42" s="70">
        <f t="shared" si="149"/>
        <v>2021.4585826253456</v>
      </c>
      <c r="AA42" s="70">
        <f t="shared" si="150"/>
        <v>2021.4585826253456</v>
      </c>
      <c r="AB42" s="70">
        <f t="shared" si="151"/>
        <v>2021.4585826253456</v>
      </c>
      <c r="AC42" s="282">
        <f t="shared" si="134"/>
        <v>6064.3757478760363</v>
      </c>
      <c r="AD42" s="74"/>
      <c r="AE42" s="70">
        <f t="shared" si="152"/>
        <v>2051.2152625027347</v>
      </c>
      <c r="AF42" s="70">
        <f t="shared" si="153"/>
        <v>2051.2152625027347</v>
      </c>
      <c r="AG42" s="70">
        <f t="shared" si="154"/>
        <v>2051.2152625027347</v>
      </c>
      <c r="AH42" s="282">
        <f t="shared" si="135"/>
        <v>6153.6457875082042</v>
      </c>
      <c r="AI42" s="74"/>
      <c r="AJ42" s="70">
        <f t="shared" si="155"/>
        <v>2167.8813315982484</v>
      </c>
      <c r="AK42" s="70">
        <f t="shared" si="156"/>
        <v>2167.8813315982484</v>
      </c>
      <c r="AL42" s="70">
        <f t="shared" si="157"/>
        <v>2167.8813315982484</v>
      </c>
      <c r="AM42" s="282">
        <f t="shared" si="136"/>
        <v>6503.6439947947456</v>
      </c>
      <c r="AN42" s="74"/>
      <c r="AO42" s="70">
        <f t="shared" si="158"/>
        <v>2267.879652617034</v>
      </c>
      <c r="AP42" s="70">
        <f t="shared" si="159"/>
        <v>2267.879652617034</v>
      </c>
      <c r="AQ42" s="70">
        <f t="shared" si="160"/>
        <v>2267.879652617034</v>
      </c>
      <c r="AR42" s="282">
        <f t="shared" si="137"/>
        <v>6803.6389578511025</v>
      </c>
      <c r="AS42" s="74"/>
      <c r="AT42" s="70">
        <f t="shared" si="161"/>
        <v>2334.5461406794052</v>
      </c>
      <c r="AU42" s="70">
        <f t="shared" si="162"/>
        <v>2334.5461406794052</v>
      </c>
      <c r="AV42" s="70">
        <f t="shared" si="163"/>
        <v>2334.5461406794052</v>
      </c>
      <c r="AW42" s="282">
        <f t="shared" si="138"/>
        <v>7003.6384220382151</v>
      </c>
      <c r="AX42" s="74"/>
      <c r="AY42" s="70">
        <f t="shared" si="164"/>
        <v>2384.5459733896059</v>
      </c>
      <c r="AZ42" s="70">
        <f t="shared" si="165"/>
        <v>2384.5459733896059</v>
      </c>
      <c r="BA42" s="70">
        <f t="shared" si="166"/>
        <v>2384.5459733896059</v>
      </c>
      <c r="BB42" s="282">
        <f t="shared" si="139"/>
        <v>7153.6379201688178</v>
      </c>
      <c r="BC42" s="74"/>
      <c r="BD42" s="70">
        <f t="shared" si="167"/>
        <v>2384.5459733896059</v>
      </c>
      <c r="BE42" s="70">
        <f t="shared" si="168"/>
        <v>2384.5459733896059</v>
      </c>
      <c r="BF42" s="70">
        <f t="shared" si="169"/>
        <v>2384.5459733896059</v>
      </c>
      <c r="BG42" s="282">
        <f t="shared" si="140"/>
        <v>7153.6379201688178</v>
      </c>
      <c r="BH42" s="74"/>
      <c r="BI42" s="70">
        <f t="shared" si="170"/>
        <v>2384.5459733896059</v>
      </c>
      <c r="BJ42" s="70">
        <f t="shared" si="171"/>
        <v>2384.5459733896059</v>
      </c>
      <c r="BK42" s="70">
        <f t="shared" si="172"/>
        <v>2384.5459733896059</v>
      </c>
      <c r="BL42" s="282">
        <f t="shared" si="141"/>
        <v>7153.6379201688178</v>
      </c>
      <c r="BM42" s="74"/>
      <c r="BN42" s="70">
        <f t="shared" si="173"/>
        <v>2384.5459733896059</v>
      </c>
      <c r="BO42" s="70">
        <f t="shared" si="174"/>
        <v>2384.5459733896059</v>
      </c>
      <c r="BP42" s="70">
        <f t="shared" si="175"/>
        <v>2384.5459733896059</v>
      </c>
      <c r="BQ42" s="282">
        <f t="shared" si="142"/>
        <v>7153.6379201688178</v>
      </c>
      <c r="BR42" s="74"/>
      <c r="BS42" s="70">
        <f t="shared" si="176"/>
        <v>2384.5459733896059</v>
      </c>
      <c r="BT42" s="70">
        <f t="shared" si="177"/>
        <v>2384.5459733896059</v>
      </c>
      <c r="BU42" s="70">
        <f t="shared" si="178"/>
        <v>2384.5459733896059</v>
      </c>
      <c r="BV42" s="282">
        <f t="shared" si="143"/>
        <v>7153.6379201688178</v>
      </c>
      <c r="BW42" s="74"/>
      <c r="BX42" s="70">
        <f t="shared" si="179"/>
        <v>2384.5459733896059</v>
      </c>
      <c r="BY42" s="70">
        <f t="shared" si="180"/>
        <v>2384.5459733896059</v>
      </c>
      <c r="BZ42" s="70">
        <f t="shared" si="181"/>
        <v>2384.5459733896059</v>
      </c>
      <c r="CA42" s="282">
        <f t="shared" si="144"/>
        <v>7153.6379201688178</v>
      </c>
      <c r="CB42" s="74"/>
      <c r="CC42" s="70">
        <f t="shared" si="182"/>
        <v>2384.5459733896059</v>
      </c>
      <c r="CD42" s="70">
        <f t="shared" si="183"/>
        <v>2384.5459733896059</v>
      </c>
      <c r="CE42" s="70">
        <f t="shared" si="184"/>
        <v>2384.5459733896059</v>
      </c>
      <c r="CF42" s="282">
        <f t="shared" si="145"/>
        <v>7153.6379201688178</v>
      </c>
      <c r="CG42" s="88"/>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1" t="s">
        <v>275</v>
      </c>
      <c r="B43" s="260">
        <v>0.05</v>
      </c>
      <c r="C43" s="293">
        <v>-6.0000000000000001E-3</v>
      </c>
      <c r="D43" s="118"/>
      <c r="E43" s="117"/>
      <c r="F43" s="130">
        <v>10000</v>
      </c>
      <c r="G43" s="131">
        <v>10000</v>
      </c>
      <c r="H43" s="70">
        <f>SUM((IF(ISBLANK(D43),B43,D43)*(H30/3))+(G43))</f>
        <v>10000</v>
      </c>
      <c r="I43" s="104">
        <f>SUM(IF(ISBLANK(D43),      (IF((1*(IF(ISBLANK(E43),C43,E43)) + B43) &lt; 0,     0,     (1*(IF(ISBLANK(E43),C43,E43)) + B43)   )),       (IF((1*(IF(ISBLANK(E43),C43,E43)) + D43) &lt; 0,     0,     (1*(IF(ISBLANK(E43),C43,E43)) + D43)   ))  )       *   (I30/3)+(H43))</f>
        <v>10000</v>
      </c>
      <c r="J43" s="282">
        <f t="shared" si="146"/>
        <v>120000</v>
      </c>
      <c r="K43" s="70">
        <f>SUM(IF(ISBLANK(D43),      (IF((2*(IF(ISBLANK(E43),C43,E43)) + B43) &lt; 0,     0,     (2*(IF(ISBLANK(E43),C43,E43)) + B43)   )),       (IF((2*(IF(ISBLANK(E43),C43,E43)) + D43) &lt; 0,     0,     (2*(IF(ISBLANK(E43),C43,E43)) + D43)   ))  )       *   (K30/3)+(I43))</f>
        <v>10000</v>
      </c>
      <c r="L43" s="70">
        <f>SUM(IF(ISBLANK(D43),      (IF((3*(IF(ISBLANK(E43),C43,E43)) + B43) &lt; 0,     0,     (3*(IF(ISBLANK(E43),C43,E43)) + B43)   )),       (IF((3*(IF(ISBLANK(E43),C43,E43)) + D43) &lt; 0,     0,     (3*(IF(ISBLANK(E43),C43,E43)) + D43)   ))  )       *   (L30/3)+(K43))</f>
        <v>10000</v>
      </c>
      <c r="M43" s="70">
        <f>SUM(IF(ISBLANK(D43),      (IF((4*(IF(ISBLANK(E43),C43,E43)) + B43) &lt; 0,     0,     (4*(IF(ISBLANK(E43),C43,E43)) + B43)   )),       (IF((4*(IF(ISBLANK(E43),C43,E43)) + D43) &lt; 0,     0,     (4*(IF(ISBLANK(E43),C43,E43)) + D43)   ))  )       *   (M30/3)+(L43))</f>
        <v>10000</v>
      </c>
      <c r="N43" s="70">
        <f>SUM(IF(ISBLANK(D43),      (IF((5*(IF(ISBLANK(E43),C43,E43)) + B43) &lt; 0,     0,     (5*(IF(ISBLANK(E43),C43,E43)) + B43)   )),       (IF((5*(IF(ISBLANK(E43),C43,E43)) + D43) &lt; 0,     0,     (5*(IF(ISBLANK(E43),C43,E43)) + D43)   ))  )       *   (N30/3)+(M43))</f>
        <v>10000</v>
      </c>
      <c r="O43" s="282">
        <f t="shared" si="147"/>
        <v>120000</v>
      </c>
      <c r="P43" s="70">
        <f>SUM(IF(ISBLANK(D43),      (IF((6*(IF(ISBLANK(E43),C43,E43)) + B43) &lt; 0,     0,     (6*(IF(ISBLANK(E43),C43,E43)) + B43)   )),       (IF((6*(IF(ISBLANK(E43),C43,E43)) + D43) &lt; 0,     0,     (6*(IF(ISBLANK(E43),C43,E43)) + D43)   ))  )       *   (P30/3)+(N43))</f>
        <v>10000</v>
      </c>
      <c r="Q43" s="70">
        <f>SUM(IF(ISBLANK(D43),      (IF((7*(IF(ISBLANK(E43),C43,E43)) + B43) &lt; 0,     0,     (7*(IF(ISBLANK(E43),C43,E43)) + B43)   )),       (IF((7*(IF(ISBLANK(E43),C43,E43)) + D43) &lt; 0,     0,     (7*(IF(ISBLANK(E43),C43,E43)) + D43)   ))  )       *   (Q30/3)+(P43))</f>
        <v>10000</v>
      </c>
      <c r="R43" s="70">
        <f>SUM(IF(ISBLANK(D43),      (IF((8*(IF(ISBLANK(E43),C43,E43)) + B43) &lt; 0,     0,     (8*(IF(ISBLANK(E43),C43,E43)) + B43)   )),       (IF((8*(IF(ISBLANK(E43),C43,E43)) + D43) &lt; 0,     0,     (8*(IF(ISBLANK(E43),C43,E43)) + D43)   ))  )       *   (R30/3)+(Q43))</f>
        <v>10000</v>
      </c>
      <c r="S43" s="70">
        <f>SUM(IF(ISBLANK(D43),      (IF((9*(IF(ISBLANK(E43),C43,E43)) + B43) &lt; 0,     0,     (9*(IF(ISBLANK(E43),C43,E43)) + B43)   )),       (IF((9*(IF(ISBLANK(E43),C43,E43)) + D43) &lt; 0,     0,     (9*(IF(ISBLANK(E43),C43,E43)) + D43)   ))  )       *   (S30/3)+(R43))</f>
        <v>10000</v>
      </c>
      <c r="T43" s="305">
        <f t="shared" si="148"/>
        <v>120000</v>
      </c>
      <c r="U43" s="281">
        <f>SUM(IF(ISBLANK(D43),      (IF((10*(IF(ISBLANK(E43),C43,E43)) + B43) &lt; 0,     0,     (10*(IF(ISBLANK(E43),C43,E43)) + B43)   )),       (IF((10*(IF(ISBLANK(E43),C43,E43)) + D43) &lt; 0,     0,     (10*(IF(ISBLANK(E43),C43,E43)) + D43)   ))  )       *   (U30)+(S43))*12</f>
        <v>120000</v>
      </c>
      <c r="V43" s="282">
        <f>SUM(IF(ISBLANK(D43),      (IF((11*(IF(ISBLANK(E43),C43,E43)) + B43) &lt; 0,     0,     (11*(IF(ISBLANK(E43),C43,E43)) + B43)   )),       (IF((11*(IF(ISBLANK(E43),C43,E43)) + D43) &lt; 0,     0,     (11*(IF(ISBLANK(E43),C43,E43)) + D43)   ))  )       *   (V30)+(U43))</f>
        <v>120000</v>
      </c>
      <c r="W43" s="283">
        <f>SUM(IF(ISBLANK(D43),      (IF((12*(IF(ISBLANK(E43),C43,E43)) + B43) &lt; 0,     0,     (12*(IF(ISBLANK(E43),C43,E43)) + B43)   )),       (IF((12*(IF(ISBLANK(E43),C43,E43)) + D43) &lt; 0,     0,     (12*(IF(ISBLANK(E43),C43,E43)) + D43)   ))  )       *   (W30)+(V43))</f>
        <v>120000</v>
      </c>
      <c r="X43" s="177"/>
      <c r="Y43" s="505">
        <f>SUM(1150+61191+16520+16425+10520+4487)</f>
        <v>110293</v>
      </c>
      <c r="Z43" s="70">
        <f t="shared" si="149"/>
        <v>10000</v>
      </c>
      <c r="AA43" s="70">
        <f t="shared" si="150"/>
        <v>10000</v>
      </c>
      <c r="AB43" s="70">
        <f t="shared" si="151"/>
        <v>10000</v>
      </c>
      <c r="AC43" s="282">
        <f t="shared" si="134"/>
        <v>30000</v>
      </c>
      <c r="AD43" s="74"/>
      <c r="AE43" s="70">
        <f t="shared" si="152"/>
        <v>10000</v>
      </c>
      <c r="AF43" s="70">
        <f t="shared" si="153"/>
        <v>10000</v>
      </c>
      <c r="AG43" s="70">
        <f t="shared" si="154"/>
        <v>10000</v>
      </c>
      <c r="AH43" s="282">
        <f t="shared" si="135"/>
        <v>30000</v>
      </c>
      <c r="AI43" s="74"/>
      <c r="AJ43" s="70">
        <f t="shared" si="155"/>
        <v>10000</v>
      </c>
      <c r="AK43" s="70">
        <f t="shared" si="156"/>
        <v>10000</v>
      </c>
      <c r="AL43" s="70">
        <f t="shared" si="157"/>
        <v>10000</v>
      </c>
      <c r="AM43" s="282">
        <f t="shared" si="136"/>
        <v>30000</v>
      </c>
      <c r="AN43" s="74"/>
      <c r="AO43" s="70">
        <f t="shared" si="158"/>
        <v>10000</v>
      </c>
      <c r="AP43" s="70">
        <f t="shared" si="159"/>
        <v>10000</v>
      </c>
      <c r="AQ43" s="70">
        <f t="shared" si="160"/>
        <v>10000</v>
      </c>
      <c r="AR43" s="282">
        <f t="shared" si="137"/>
        <v>30000</v>
      </c>
      <c r="AS43" s="74"/>
      <c r="AT43" s="70">
        <f t="shared" si="161"/>
        <v>10000</v>
      </c>
      <c r="AU43" s="70">
        <f t="shared" si="162"/>
        <v>10000</v>
      </c>
      <c r="AV43" s="70">
        <f t="shared" si="163"/>
        <v>10000</v>
      </c>
      <c r="AW43" s="282">
        <f t="shared" si="138"/>
        <v>30000</v>
      </c>
      <c r="AX43" s="74"/>
      <c r="AY43" s="70">
        <f t="shared" si="164"/>
        <v>10000</v>
      </c>
      <c r="AZ43" s="70">
        <f t="shared" si="165"/>
        <v>10000</v>
      </c>
      <c r="BA43" s="70">
        <f t="shared" si="166"/>
        <v>10000</v>
      </c>
      <c r="BB43" s="282">
        <f t="shared" si="139"/>
        <v>30000</v>
      </c>
      <c r="BC43" s="74"/>
      <c r="BD43" s="70">
        <f t="shared" si="167"/>
        <v>10000</v>
      </c>
      <c r="BE43" s="70">
        <f t="shared" si="168"/>
        <v>10000</v>
      </c>
      <c r="BF43" s="70">
        <f t="shared" si="169"/>
        <v>10000</v>
      </c>
      <c r="BG43" s="282">
        <f t="shared" si="140"/>
        <v>30000</v>
      </c>
      <c r="BH43" s="74"/>
      <c r="BI43" s="70">
        <f t="shared" si="170"/>
        <v>10000</v>
      </c>
      <c r="BJ43" s="70">
        <f t="shared" si="171"/>
        <v>10000</v>
      </c>
      <c r="BK43" s="70">
        <f t="shared" si="172"/>
        <v>10000</v>
      </c>
      <c r="BL43" s="282">
        <f t="shared" si="141"/>
        <v>30000</v>
      </c>
      <c r="BM43" s="74"/>
      <c r="BN43" s="70">
        <f t="shared" si="173"/>
        <v>10000</v>
      </c>
      <c r="BO43" s="70">
        <f t="shared" si="174"/>
        <v>10000</v>
      </c>
      <c r="BP43" s="70">
        <f t="shared" si="175"/>
        <v>10000</v>
      </c>
      <c r="BQ43" s="282">
        <f t="shared" si="142"/>
        <v>30000</v>
      </c>
      <c r="BR43" s="74"/>
      <c r="BS43" s="70">
        <f t="shared" si="176"/>
        <v>10000</v>
      </c>
      <c r="BT43" s="70">
        <f t="shared" si="177"/>
        <v>10000</v>
      </c>
      <c r="BU43" s="70">
        <f t="shared" si="178"/>
        <v>10000</v>
      </c>
      <c r="BV43" s="282">
        <f t="shared" si="143"/>
        <v>30000</v>
      </c>
      <c r="BW43" s="74"/>
      <c r="BX43" s="70">
        <f t="shared" si="179"/>
        <v>10000</v>
      </c>
      <c r="BY43" s="70">
        <f t="shared" si="180"/>
        <v>10000</v>
      </c>
      <c r="BZ43" s="70">
        <f t="shared" si="181"/>
        <v>10000</v>
      </c>
      <c r="CA43" s="282">
        <f t="shared" si="144"/>
        <v>30000</v>
      </c>
      <c r="CB43" s="74"/>
      <c r="CC43" s="70">
        <f t="shared" si="182"/>
        <v>10000</v>
      </c>
      <c r="CD43" s="70">
        <f t="shared" si="183"/>
        <v>10000</v>
      </c>
      <c r="CE43" s="70">
        <f t="shared" si="184"/>
        <v>10000</v>
      </c>
      <c r="CF43" s="282">
        <f t="shared" si="145"/>
        <v>30000</v>
      </c>
      <c r="CG43" s="88"/>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196" t="s">
        <v>276</v>
      </c>
      <c r="B44" s="306">
        <v>3</v>
      </c>
      <c r="C44" s="307">
        <v>-0.05</v>
      </c>
      <c r="D44" s="478">
        <f>SUM(IF('Your Estimation'!B23=0,B44,'Your Estimation'!B23))</f>
        <v>3</v>
      </c>
      <c r="E44" s="477">
        <v>0</v>
      </c>
      <c r="F44" s="129">
        <v>6</v>
      </c>
      <c r="G44" s="128">
        <v>5</v>
      </c>
      <c r="H44" s="195">
        <f>SUM((IF(ISBLANK(D44),B44,D44)))</f>
        <v>3</v>
      </c>
      <c r="I44" s="195">
        <f>SUM(H44+(IF(ISBLANK(E44),C44,E44)))</f>
        <v>3</v>
      </c>
      <c r="J44" s="279">
        <f>SUM((F44+G44+H44+I44)/4)</f>
        <v>4.25</v>
      </c>
      <c r="K44" s="195">
        <f>SUM(I44+(IF(ISBLANK(E44),C44,E44)))</f>
        <v>3</v>
      </c>
      <c r="L44" s="195">
        <f>SUM(K44+(IF(ISBLANK(E44),C44,E44)))</f>
        <v>3</v>
      </c>
      <c r="M44" s="195">
        <f>SUM(L44+(IF(ISBLANK(E44),C44,E44)))</f>
        <v>3</v>
      </c>
      <c r="N44" s="195">
        <f>SUM(M44+(IF(ISBLANK(E44),C44,E44)))</f>
        <v>3</v>
      </c>
      <c r="O44" s="279">
        <f>SUM(K44+L44+M44+N44)/4</f>
        <v>3</v>
      </c>
      <c r="P44" s="195">
        <f>SUM(N44+(IF(ISBLANK(E44),C44,E44)))</f>
        <v>3</v>
      </c>
      <c r="Q44" s="195">
        <f>SUM(P44+(IF(ISBLANK(E44),C44,E44)))</f>
        <v>3</v>
      </c>
      <c r="R44" s="195">
        <f>SUM(Q44+(IF(ISBLANK(E44),C44,E44)))</f>
        <v>3</v>
      </c>
      <c r="S44" s="195">
        <f>SUM(R44+(IF(ISBLANK(E44),C44,E44)))</f>
        <v>3</v>
      </c>
      <c r="T44" s="304">
        <f>SUM(P44+Q44+R44+S44)/4</f>
        <v>3</v>
      </c>
      <c r="U44" s="278">
        <f>SUM(S44+(IF(ISBLANK(E44),C44,E44)))</f>
        <v>3</v>
      </c>
      <c r="V44" s="279">
        <f>SUM(U44+(IF(ISBLANK(E44),C44,E44)))</f>
        <v>3</v>
      </c>
      <c r="W44" s="280">
        <f>SUM(V44+(IF(ISBLANK(E44),C44,E44)))</f>
        <v>3</v>
      </c>
      <c r="X44" s="172"/>
      <c r="Y44" s="506">
        <v>1.2</v>
      </c>
      <c r="Z44" s="195">
        <f>F44</f>
        <v>6</v>
      </c>
      <c r="AA44" s="195">
        <f>F44</f>
        <v>6</v>
      </c>
      <c r="AB44" s="195">
        <f>F44</f>
        <v>6</v>
      </c>
      <c r="AC44" s="279">
        <f>SUM((Z44+AA44+AB44)/3)</f>
        <v>6</v>
      </c>
      <c r="AD44" s="85"/>
      <c r="AE44" s="195">
        <f>G44</f>
        <v>5</v>
      </c>
      <c r="AF44" s="195">
        <f>G44</f>
        <v>5</v>
      </c>
      <c r="AG44" s="195">
        <f>G44</f>
        <v>5</v>
      </c>
      <c r="AH44" s="279">
        <f>SUM((AE44+AF44+AG44)/3)</f>
        <v>5</v>
      </c>
      <c r="AI44" s="85"/>
      <c r="AJ44" s="195">
        <f>H44</f>
        <v>3</v>
      </c>
      <c r="AK44" s="195">
        <f>H44</f>
        <v>3</v>
      </c>
      <c r="AL44" s="195">
        <f>H44</f>
        <v>3</v>
      </c>
      <c r="AM44" s="279">
        <f>SUM((AJ44+AK44+AL44)/3)</f>
        <v>3</v>
      </c>
      <c r="AN44" s="85"/>
      <c r="AO44" s="195">
        <f>I44</f>
        <v>3</v>
      </c>
      <c r="AP44" s="195">
        <f>I44</f>
        <v>3</v>
      </c>
      <c r="AQ44" s="195">
        <f>I44</f>
        <v>3</v>
      </c>
      <c r="AR44" s="279">
        <f>SUM((AO44+AP44+AQ44)/3)</f>
        <v>3</v>
      </c>
      <c r="AS44" s="85"/>
      <c r="AT44" s="195">
        <f>K44</f>
        <v>3</v>
      </c>
      <c r="AU44" s="195">
        <f>K44</f>
        <v>3</v>
      </c>
      <c r="AV44" s="195">
        <f>K44</f>
        <v>3</v>
      </c>
      <c r="AW44" s="279">
        <f>SUM((AT44+AU44+AV44)/3)</f>
        <v>3</v>
      </c>
      <c r="AX44" s="85"/>
      <c r="AY44" s="195">
        <f>L44</f>
        <v>3</v>
      </c>
      <c r="AZ44" s="195">
        <f>L44</f>
        <v>3</v>
      </c>
      <c r="BA44" s="195">
        <f>L44</f>
        <v>3</v>
      </c>
      <c r="BB44" s="279">
        <f>SUM((AY44+AZ44+BA44)/3)</f>
        <v>3</v>
      </c>
      <c r="BC44" s="85"/>
      <c r="BD44" s="195">
        <f>M44</f>
        <v>3</v>
      </c>
      <c r="BE44" s="195">
        <f>M44</f>
        <v>3</v>
      </c>
      <c r="BF44" s="195">
        <f>M44</f>
        <v>3</v>
      </c>
      <c r="BG44" s="279">
        <f>SUM((BD44+BE44+BF44)/3)</f>
        <v>3</v>
      </c>
      <c r="BH44" s="85"/>
      <c r="BI44" s="195">
        <f>N44</f>
        <v>3</v>
      </c>
      <c r="BJ44" s="195">
        <f>N44</f>
        <v>3</v>
      </c>
      <c r="BK44" s="195">
        <f>N44</f>
        <v>3</v>
      </c>
      <c r="BL44" s="279">
        <f>SUM((BI44+BJ44+BK44)/3)</f>
        <v>3</v>
      </c>
      <c r="BM44" s="85"/>
      <c r="BN44" s="195">
        <f>P44</f>
        <v>3</v>
      </c>
      <c r="BO44" s="195">
        <f>P44</f>
        <v>3</v>
      </c>
      <c r="BP44" s="195">
        <f>P44</f>
        <v>3</v>
      </c>
      <c r="BQ44" s="279">
        <f>SUM((BN44+BO44+BP44)/3)</f>
        <v>3</v>
      </c>
      <c r="BR44" s="85"/>
      <c r="BS44" s="195">
        <f>Q44</f>
        <v>3</v>
      </c>
      <c r="BT44" s="195">
        <f>Q44</f>
        <v>3</v>
      </c>
      <c r="BU44" s="195">
        <f>Q44</f>
        <v>3</v>
      </c>
      <c r="BV44" s="279">
        <f>SUM((BS44+BT44+BU44)/3)</f>
        <v>3</v>
      </c>
      <c r="BW44" s="85"/>
      <c r="BX44" s="195">
        <f>R44</f>
        <v>3</v>
      </c>
      <c r="BY44" s="195">
        <f>R44</f>
        <v>3</v>
      </c>
      <c r="BZ44" s="195">
        <f>R44</f>
        <v>3</v>
      </c>
      <c r="CA44" s="279">
        <f>SUM((BX44+BY44+BZ44)/3)</f>
        <v>3</v>
      </c>
      <c r="CB44" s="85"/>
      <c r="CC44" s="195">
        <f>S44</f>
        <v>3</v>
      </c>
      <c r="CD44" s="195">
        <f>S44</f>
        <v>3</v>
      </c>
      <c r="CE44" s="195">
        <f>S44</f>
        <v>3</v>
      </c>
      <c r="CF44" s="279">
        <f>SUM((CC44+CD44+CE44)/3)</f>
        <v>3</v>
      </c>
      <c r="CG44" s="87"/>
    </row>
    <row r="45" spans="1:175" s="9" customFormat="1" ht="9.75" customHeight="1" x14ac:dyDescent="0.15">
      <c r="A45" s="61" t="s">
        <v>277</v>
      </c>
      <c r="B45" s="260">
        <v>0.3</v>
      </c>
      <c r="C45" s="305">
        <v>10000000</v>
      </c>
      <c r="D45" s="118"/>
      <c r="E45" s="119"/>
      <c r="F45" s="130">
        <v>0</v>
      </c>
      <c r="G45" s="131">
        <v>0</v>
      </c>
      <c r="H45" s="70">
        <f>SUM(G45+(IF(IF(ISBLANK(D45),B45,D45)*(G30/3)&gt;(IF(ISBLANK(E45),C45,E45)),IF(ISBLANK(E45),C45,E45),IF(ISBLANK(D45),B45,D45)*(G30/3))))</f>
        <v>0</v>
      </c>
      <c r="I45" s="104">
        <f>SUM(G45+(IF(IF(ISBLANK(D45),B45,D45)*(H30/3)&gt;(IF(ISBLANK(E45),C45,E45)),IF(ISBLANK(E45),C45,E45),IF(ISBLANK(D45),B45,D45)*(H30/3))))</f>
        <v>0</v>
      </c>
      <c r="J45" s="282">
        <f t="shared" si="146"/>
        <v>0</v>
      </c>
      <c r="K45" s="70">
        <f>SUM(G45+(IF(IF(ISBLANK(D45),B45,D45)*(I30/3)&gt;(IF(ISBLANK(E45),C45,E45)),IF(ISBLANK(E45),C45,E45),IF(ISBLANK(D45),B45,D45)*(I30/3))))</f>
        <v>0</v>
      </c>
      <c r="L45" s="70">
        <f>SUM(G45+(IF(IF(ISBLANK(D45),B45,D45)*(K30/3)&gt;(IF(ISBLANK(E45),C45,E45)),IF(ISBLANK(E45),C45,E45),IF(ISBLANK(D45),B45,D45)*(K30/3))))</f>
        <v>0</v>
      </c>
      <c r="M45" s="70">
        <f>SUM(G45+(IF(IF(ISBLANK(D45),B45,D45)*(L30/3)&gt;(IF(ISBLANK(E45),C45,E45)),IF(ISBLANK(E45),C45,E45),IF(ISBLANK(D45),B45,D45)*(L30/3))))</f>
        <v>0</v>
      </c>
      <c r="N45" s="70">
        <f>SUM(G45+(IF(IF(ISBLANK(D45),B45,D45)*(M30/3)&gt;(IF(ISBLANK(E45),C45,E45)),IF(ISBLANK(E45),C45,E45),IF(ISBLANK(D45),B45,D45)*(M30/3))))</f>
        <v>0</v>
      </c>
      <c r="O45" s="282">
        <f t="shared" si="147"/>
        <v>0</v>
      </c>
      <c r="P45" s="70">
        <f>SUM(G45+(IF(IF(ISBLANK(D45),B45,D45)*(N30/3)&gt;(IF(ISBLANK(E45),C45,E45)),IF(ISBLANK(E45),C45,E45),IF(ISBLANK(D45),B45,D45)*(N30/3))))</f>
        <v>0</v>
      </c>
      <c r="Q45" s="70">
        <f>SUM(G45+(IF(IF(ISBLANK(D45),B45,D45)*(P30/3)&gt;(IF(ISBLANK(E45),C45,E45)),IF(ISBLANK(E45),C45,E45),IF(ISBLANK(D45),B45,D45)*(P30/3))))</f>
        <v>0</v>
      </c>
      <c r="R45" s="70">
        <f>SUM(G45+(IF(IF(ISBLANK(D45),B45,D45)*(Q30/3)&gt;(IF(ISBLANK(E45),C45,E45)),IF(ISBLANK(E45),C45,E45),IF(ISBLANK(D45),B45,D45)*(Q30/3))))</f>
        <v>0</v>
      </c>
      <c r="S45" s="70">
        <f>SUM(G45+(IF(IF(ISBLANK(D45),B45,D45)*(R30/3)&gt;(IF(ISBLANK(E45),C45,E45)),IF(ISBLANK(E45),C45,E45),IF(ISBLANK(D45),B45,D45)*(R30/3))))</f>
        <v>0</v>
      </c>
      <c r="T45" s="305">
        <f t="shared" si="148"/>
        <v>0</v>
      </c>
      <c r="U45" s="281">
        <f>SUM(G45+(IF(IF(ISBLANK(D45),B45,D45)*(S30)&gt;(IF(ISBLANK(E45),C45,E45)),IF(ISBLANK(E45),C45,E45),IF(ISBLANK(D45),B45,D45)*(S30))))</f>
        <v>0</v>
      </c>
      <c r="V45" s="282">
        <f>SUM(G45+(IF(IF(ISBLANK(D45),B45,D45)*(U30)&gt;(IF(ISBLANK(E45),C45,E45)),IF(ISBLANK(E45),C45,E45),IF(ISBLANK(D45),B45,D45)*(U30))))</f>
        <v>0</v>
      </c>
      <c r="W45" s="283">
        <f>SUM(G45+(IF(IF(ISBLANK(D45),B45,D45)*(V30)&gt;(IF(ISBLANK(E45),C45,E45)),IF(ISBLANK(E45),C45,E45),IF(ISBLANK(D45),B45,D45)*(V30))))</f>
        <v>0</v>
      </c>
      <c r="X45" s="177"/>
      <c r="Y45" s="505">
        <v>0</v>
      </c>
      <c r="Z45" s="70">
        <f t="shared" si="149"/>
        <v>0</v>
      </c>
      <c r="AA45" s="70">
        <f t="shared" si="150"/>
        <v>0</v>
      </c>
      <c r="AB45" s="70">
        <f t="shared" si="151"/>
        <v>0</v>
      </c>
      <c r="AC45" s="282">
        <f>SUM(Z45:AB45)</f>
        <v>0</v>
      </c>
      <c r="AD45" s="74"/>
      <c r="AE45" s="70">
        <f t="shared" si="152"/>
        <v>0</v>
      </c>
      <c r="AF45" s="70">
        <f t="shared" si="153"/>
        <v>0</v>
      </c>
      <c r="AG45" s="70">
        <f t="shared" si="154"/>
        <v>0</v>
      </c>
      <c r="AH45" s="282">
        <f t="shared" si="135"/>
        <v>0</v>
      </c>
      <c r="AI45" s="74"/>
      <c r="AJ45" s="70">
        <f t="shared" si="155"/>
        <v>0</v>
      </c>
      <c r="AK45" s="70">
        <f t="shared" si="156"/>
        <v>0</v>
      </c>
      <c r="AL45" s="70">
        <f t="shared" si="157"/>
        <v>0</v>
      </c>
      <c r="AM45" s="282">
        <f>SUM(AJ45:AL45)</f>
        <v>0</v>
      </c>
      <c r="AN45" s="74"/>
      <c r="AO45" s="70">
        <f t="shared" si="158"/>
        <v>0</v>
      </c>
      <c r="AP45" s="70">
        <f t="shared" si="159"/>
        <v>0</v>
      </c>
      <c r="AQ45" s="70">
        <f t="shared" si="160"/>
        <v>0</v>
      </c>
      <c r="AR45" s="282">
        <f>SUM(AO45:AQ45)</f>
        <v>0</v>
      </c>
      <c r="AS45" s="74"/>
      <c r="AT45" s="70">
        <f t="shared" si="161"/>
        <v>0</v>
      </c>
      <c r="AU45" s="70">
        <f t="shared" si="162"/>
        <v>0</v>
      </c>
      <c r="AV45" s="70">
        <f t="shared" si="163"/>
        <v>0</v>
      </c>
      <c r="AW45" s="282">
        <f>SUM(AT45:AV45)</f>
        <v>0</v>
      </c>
      <c r="AX45" s="74"/>
      <c r="AY45" s="70">
        <f t="shared" si="164"/>
        <v>0</v>
      </c>
      <c r="AZ45" s="70">
        <f t="shared" si="165"/>
        <v>0</v>
      </c>
      <c r="BA45" s="70">
        <f t="shared" si="166"/>
        <v>0</v>
      </c>
      <c r="BB45" s="282">
        <f>SUM(AY45:BA45)</f>
        <v>0</v>
      </c>
      <c r="BC45" s="74"/>
      <c r="BD45" s="70">
        <f t="shared" si="167"/>
        <v>0</v>
      </c>
      <c r="BE45" s="70">
        <f t="shared" si="168"/>
        <v>0</v>
      </c>
      <c r="BF45" s="70">
        <f t="shared" si="169"/>
        <v>0</v>
      </c>
      <c r="BG45" s="282">
        <f>SUM(BD45:BF45)</f>
        <v>0</v>
      </c>
      <c r="BH45" s="74"/>
      <c r="BI45" s="70">
        <f t="shared" si="170"/>
        <v>0</v>
      </c>
      <c r="BJ45" s="70">
        <f t="shared" si="171"/>
        <v>0</v>
      </c>
      <c r="BK45" s="70">
        <f t="shared" si="172"/>
        <v>0</v>
      </c>
      <c r="BL45" s="282">
        <f>SUM(BI45:BK45)</f>
        <v>0</v>
      </c>
      <c r="BM45" s="74"/>
      <c r="BN45" s="70">
        <f t="shared" si="173"/>
        <v>0</v>
      </c>
      <c r="BO45" s="70">
        <f>P45</f>
        <v>0</v>
      </c>
      <c r="BP45" s="70">
        <f t="shared" si="175"/>
        <v>0</v>
      </c>
      <c r="BQ45" s="282">
        <f>SUM(BN45:BP45)</f>
        <v>0</v>
      </c>
      <c r="BR45" s="74"/>
      <c r="BS45" s="70">
        <f t="shared" si="176"/>
        <v>0</v>
      </c>
      <c r="BT45" s="70">
        <f t="shared" si="177"/>
        <v>0</v>
      </c>
      <c r="BU45" s="70">
        <f t="shared" si="178"/>
        <v>0</v>
      </c>
      <c r="BV45" s="282">
        <f>SUM(BS45:BU45)</f>
        <v>0</v>
      </c>
      <c r="BW45" s="74"/>
      <c r="BX45" s="70">
        <f t="shared" si="179"/>
        <v>0</v>
      </c>
      <c r="BY45" s="70">
        <f t="shared" si="180"/>
        <v>0</v>
      </c>
      <c r="BZ45" s="70">
        <f t="shared" si="181"/>
        <v>0</v>
      </c>
      <c r="CA45" s="282">
        <f>SUM(BX45:BZ45)</f>
        <v>0</v>
      </c>
      <c r="CB45" s="74"/>
      <c r="CC45" s="70">
        <f t="shared" si="182"/>
        <v>0</v>
      </c>
      <c r="CD45" s="70">
        <f t="shared" si="183"/>
        <v>0</v>
      </c>
      <c r="CE45" s="70">
        <f t="shared" si="184"/>
        <v>0</v>
      </c>
      <c r="CF45" s="282">
        <f>SUM(CC45:CE45)</f>
        <v>0</v>
      </c>
      <c r="CG45" s="88"/>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1" t="s">
        <v>278</v>
      </c>
      <c r="B46" s="281">
        <v>100000</v>
      </c>
      <c r="C46" s="305"/>
      <c r="D46" s="116"/>
      <c r="E46" s="357"/>
      <c r="F46" s="130">
        <v>1000</v>
      </c>
      <c r="G46" s="131">
        <f>SUM((IF(ISBLANK(D46),B46,D46)/3)*0.35)</f>
        <v>11666.666666666666</v>
      </c>
      <c r="H46" s="70">
        <f>SUM((IF(ISBLANK(D46),B46,D46)/3)*0.3)</f>
        <v>10000</v>
      </c>
      <c r="I46" s="104">
        <f>SUM((IF(ISBLANK(D46),B46,D46)/3)*0.2)</f>
        <v>6666.6666666666679</v>
      </c>
      <c r="J46" s="282">
        <f>SUM(F46:I46)*3</f>
        <v>88000</v>
      </c>
      <c r="K46" s="70">
        <f>SUM((IF(ISBLANK(D46),B46,D46)/3)*0.15)</f>
        <v>5000</v>
      </c>
      <c r="L46" s="70">
        <v>0</v>
      </c>
      <c r="M46" s="70">
        <v>0</v>
      </c>
      <c r="N46" s="70">
        <v>0</v>
      </c>
      <c r="O46" s="282">
        <f>SUM(K46:N46)*3</f>
        <v>15000</v>
      </c>
      <c r="P46" s="70">
        <v>0</v>
      </c>
      <c r="Q46" s="70">
        <v>0</v>
      </c>
      <c r="R46" s="70">
        <v>0</v>
      </c>
      <c r="S46" s="70">
        <v>0</v>
      </c>
      <c r="T46" s="305">
        <f>SUM(P46:S46)*3</f>
        <v>0</v>
      </c>
      <c r="U46" s="281">
        <v>0</v>
      </c>
      <c r="V46" s="282">
        <v>0</v>
      </c>
      <c r="W46" s="283">
        <v>0</v>
      </c>
      <c r="X46" s="177"/>
      <c r="Y46" s="505">
        <v>2000</v>
      </c>
      <c r="Z46" s="70">
        <f t="shared" si="149"/>
        <v>1000</v>
      </c>
      <c r="AA46" s="70">
        <f t="shared" si="150"/>
        <v>1000</v>
      </c>
      <c r="AB46" s="70">
        <f t="shared" si="151"/>
        <v>1000</v>
      </c>
      <c r="AC46" s="282">
        <f>SUM(Z46:AB46)</f>
        <v>3000</v>
      </c>
      <c r="AD46" s="74"/>
      <c r="AE46" s="70">
        <f t="shared" si="152"/>
        <v>11666.666666666666</v>
      </c>
      <c r="AF46" s="70">
        <f t="shared" si="153"/>
        <v>11666.666666666666</v>
      </c>
      <c r="AG46" s="70">
        <f t="shared" si="154"/>
        <v>11666.666666666666</v>
      </c>
      <c r="AH46" s="282">
        <f t="shared" si="135"/>
        <v>35000</v>
      </c>
      <c r="AI46" s="74"/>
      <c r="AJ46" s="70">
        <f t="shared" si="155"/>
        <v>10000</v>
      </c>
      <c r="AK46" s="70">
        <f t="shared" si="156"/>
        <v>10000</v>
      </c>
      <c r="AL46" s="70">
        <f t="shared" si="157"/>
        <v>10000</v>
      </c>
      <c r="AM46" s="282">
        <f>SUM(AJ46:AL46)</f>
        <v>30000</v>
      </c>
      <c r="AN46" s="74"/>
      <c r="AO46" s="70">
        <f t="shared" si="158"/>
        <v>6666.6666666666679</v>
      </c>
      <c r="AP46" s="70">
        <f t="shared" si="159"/>
        <v>6666.6666666666679</v>
      </c>
      <c r="AQ46" s="70">
        <f t="shared" si="160"/>
        <v>6666.6666666666679</v>
      </c>
      <c r="AR46" s="282">
        <f>SUM(AO46:AQ46)</f>
        <v>20000.000000000004</v>
      </c>
      <c r="AS46" s="74"/>
      <c r="AT46" s="70">
        <f t="shared" si="161"/>
        <v>5000</v>
      </c>
      <c r="AU46" s="70">
        <f t="shared" si="162"/>
        <v>5000</v>
      </c>
      <c r="AV46" s="70">
        <f t="shared" si="163"/>
        <v>5000</v>
      </c>
      <c r="AW46" s="282">
        <f>SUM(AT46:AV46)</f>
        <v>15000</v>
      </c>
      <c r="AX46" s="74"/>
      <c r="AY46" s="70">
        <f t="shared" si="164"/>
        <v>0</v>
      </c>
      <c r="AZ46" s="70">
        <f t="shared" si="165"/>
        <v>0</v>
      </c>
      <c r="BA46" s="70">
        <f t="shared" si="166"/>
        <v>0</v>
      </c>
      <c r="BB46" s="282">
        <f>SUM(AY46:BA46)</f>
        <v>0</v>
      </c>
      <c r="BC46" s="74"/>
      <c r="BD46" s="70">
        <f t="shared" si="167"/>
        <v>0</v>
      </c>
      <c r="BE46" s="70">
        <f t="shared" si="168"/>
        <v>0</v>
      </c>
      <c r="BF46" s="70">
        <f t="shared" si="169"/>
        <v>0</v>
      </c>
      <c r="BG46" s="282">
        <f>SUM(BD46:BF46)</f>
        <v>0</v>
      </c>
      <c r="BH46" s="74"/>
      <c r="BI46" s="70">
        <f t="shared" si="170"/>
        <v>0</v>
      </c>
      <c r="BJ46" s="70">
        <f t="shared" si="171"/>
        <v>0</v>
      </c>
      <c r="BK46" s="70">
        <f t="shared" si="172"/>
        <v>0</v>
      </c>
      <c r="BL46" s="282">
        <f>SUM(BI46:BK46)</f>
        <v>0</v>
      </c>
      <c r="BM46" s="74"/>
      <c r="BN46" s="70">
        <f t="shared" si="173"/>
        <v>0</v>
      </c>
      <c r="BO46" s="70">
        <f>P46</f>
        <v>0</v>
      </c>
      <c r="BP46" s="70">
        <f t="shared" si="175"/>
        <v>0</v>
      </c>
      <c r="BQ46" s="282">
        <f>SUM(BN46:BP46)</f>
        <v>0</v>
      </c>
      <c r="BR46" s="74"/>
      <c r="BS46" s="70">
        <f t="shared" si="176"/>
        <v>0</v>
      </c>
      <c r="BT46" s="70">
        <f t="shared" si="177"/>
        <v>0</v>
      </c>
      <c r="BU46" s="70">
        <f t="shared" si="178"/>
        <v>0</v>
      </c>
      <c r="BV46" s="282">
        <f>SUM(BS46:BU46)</f>
        <v>0</v>
      </c>
      <c r="BW46" s="74"/>
      <c r="BX46" s="70">
        <f t="shared" si="179"/>
        <v>0</v>
      </c>
      <c r="BY46" s="70">
        <f t="shared" si="180"/>
        <v>0</v>
      </c>
      <c r="BZ46" s="70">
        <f t="shared" si="181"/>
        <v>0</v>
      </c>
      <c r="CA46" s="282">
        <f>SUM(BX46:BZ46)</f>
        <v>0</v>
      </c>
      <c r="CB46" s="74"/>
      <c r="CC46" s="70">
        <f t="shared" si="182"/>
        <v>0</v>
      </c>
      <c r="CD46" s="70">
        <f t="shared" si="183"/>
        <v>0</v>
      </c>
      <c r="CE46" s="70">
        <f t="shared" si="184"/>
        <v>0</v>
      </c>
      <c r="CF46" s="282">
        <f>SUM(CC46:CE46)</f>
        <v>0</v>
      </c>
      <c r="CG46" s="88"/>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2" t="s">
        <v>207</v>
      </c>
      <c r="B47" s="161"/>
      <c r="C47" s="157"/>
      <c r="D47" s="161"/>
      <c r="E47" s="86"/>
      <c r="F47" s="105">
        <f>AC47</f>
        <v>123682.37574787604</v>
      </c>
      <c r="G47" s="77">
        <f>AH47</f>
        <v>155768.6457875082</v>
      </c>
      <c r="H47" s="77">
        <f>AM47</f>
        <v>151112.64399479475</v>
      </c>
      <c r="I47" s="77">
        <f>AR47</f>
        <v>141412.6389578511</v>
      </c>
      <c r="J47" s="72">
        <f>SUM(F47:I47)</f>
        <v>571976.30448803003</v>
      </c>
      <c r="K47" s="77">
        <f>AW47</f>
        <v>151612.63842203823</v>
      </c>
      <c r="L47" s="77">
        <f>BB47</f>
        <v>136762.63792016881</v>
      </c>
      <c r="M47" s="77">
        <f>BG47</f>
        <v>136762.63792016881</v>
      </c>
      <c r="N47" s="77">
        <f>BL47</f>
        <v>136762.63792016881</v>
      </c>
      <c r="O47" s="72">
        <f>SUM(K47:N47)</f>
        <v>561900.55218254472</v>
      </c>
      <c r="P47" s="77">
        <f>BQ47</f>
        <v>136762.63792016881</v>
      </c>
      <c r="Q47" s="77">
        <f>BV47</f>
        <v>136762.63792016881</v>
      </c>
      <c r="R47" s="77">
        <f>CA47</f>
        <v>136762.63792016881</v>
      </c>
      <c r="S47" s="77">
        <f>CF47</f>
        <v>136762.63792016881</v>
      </c>
      <c r="T47" s="158">
        <f>SUM(P47:S47)</f>
        <v>547050.55168067524</v>
      </c>
      <c r="U47" s="162">
        <f>SUM(U33:U45)</f>
        <v>503017.55168067524</v>
      </c>
      <c r="V47" s="72">
        <f>SUM(V33:V45)</f>
        <v>503017.55168067524</v>
      </c>
      <c r="W47" s="89">
        <f>SUM(W33:W45)</f>
        <v>503017.55168067524</v>
      </c>
      <c r="X47" s="178"/>
      <c r="Y47" s="509">
        <f>SUM(Y33:Y46)</f>
        <v>1083618.2</v>
      </c>
      <c r="Z47" s="77">
        <f>SUM(Z33:Z46)</f>
        <v>41227.458582625346</v>
      </c>
      <c r="AA47" s="77">
        <f>SUM(AA33:AA46)</f>
        <v>41227.458582625346</v>
      </c>
      <c r="AB47" s="77">
        <f>SUM(AB33:AB46)</f>
        <v>41227.458582625346</v>
      </c>
      <c r="AC47" s="72">
        <f>SUM(Z47:AB47)</f>
        <v>123682.37574787604</v>
      </c>
      <c r="AD47" s="72"/>
      <c r="AE47" s="77">
        <f>SUM(AE33:AE46)</f>
        <v>51922.881929169402</v>
      </c>
      <c r="AF47" s="77">
        <f>SUM(AF33:AF46)</f>
        <v>51922.881929169402</v>
      </c>
      <c r="AG47" s="77">
        <f>SUM(AG33:AG46)</f>
        <v>51922.881929169402</v>
      </c>
      <c r="AH47" s="72">
        <f>SUM(AE47:AG47)</f>
        <v>155768.6457875082</v>
      </c>
      <c r="AI47" s="72"/>
      <c r="AJ47" s="77">
        <f>SUM(AJ33:AJ46)</f>
        <v>50370.881331598248</v>
      </c>
      <c r="AK47" s="77">
        <f>SUM(AK33:AK46)</f>
        <v>50370.881331598248</v>
      </c>
      <c r="AL47" s="77">
        <f>SUM(AL33:AL46)</f>
        <v>50370.881331598248</v>
      </c>
      <c r="AM47" s="72">
        <f>SUM(AJ47:AL47)</f>
        <v>151112.64399479475</v>
      </c>
      <c r="AN47" s="72"/>
      <c r="AO47" s="77">
        <f>SUM(AO33:AO46)</f>
        <v>47137.546319283705</v>
      </c>
      <c r="AP47" s="77">
        <f>SUM(AP33:AP46)</f>
        <v>47137.546319283705</v>
      </c>
      <c r="AQ47" s="77">
        <f>SUM(AQ33:AQ46)</f>
        <v>47137.546319283705</v>
      </c>
      <c r="AR47" s="72">
        <f>SUM(AO47:AQ47)</f>
        <v>141412.6389578511</v>
      </c>
      <c r="AS47" s="72"/>
      <c r="AT47" s="77">
        <f>SUM(AT33:AT46)</f>
        <v>50537.546140679406</v>
      </c>
      <c r="AU47" s="77">
        <f>SUM(AU33:AU46)</f>
        <v>50537.546140679406</v>
      </c>
      <c r="AV47" s="77">
        <f>SUM(AV33:AV46)</f>
        <v>50537.546140679406</v>
      </c>
      <c r="AW47" s="72">
        <f>SUM(AT47:AV47)</f>
        <v>151612.63842203823</v>
      </c>
      <c r="AX47" s="72"/>
      <c r="AY47" s="77">
        <f>SUM(AY33:AY46)</f>
        <v>45587.545973389606</v>
      </c>
      <c r="AZ47" s="77">
        <f>SUM(AZ33:AZ46)</f>
        <v>45587.545973389606</v>
      </c>
      <c r="BA47" s="77">
        <f>SUM(BA33:BA46)</f>
        <v>45587.545973389606</v>
      </c>
      <c r="BB47" s="72">
        <f>SUM(AY47:BA47)</f>
        <v>136762.63792016881</v>
      </c>
      <c r="BC47" s="72"/>
      <c r="BD47" s="77">
        <f>SUM(BD33:BD46)</f>
        <v>45587.545973389606</v>
      </c>
      <c r="BE47" s="77">
        <f>SUM(BE33:BE46)</f>
        <v>45587.545973389606</v>
      </c>
      <c r="BF47" s="77">
        <f>SUM(BF33:BF46)</f>
        <v>45587.545973389606</v>
      </c>
      <c r="BG47" s="72">
        <f>SUM(BD47:BF47)</f>
        <v>136762.63792016881</v>
      </c>
      <c r="BH47" s="72"/>
      <c r="BI47" s="77">
        <f>SUM(BI33:BI46)</f>
        <v>45587.545973389606</v>
      </c>
      <c r="BJ47" s="77">
        <f>SUM(BJ33:BJ46)</f>
        <v>45587.545973389606</v>
      </c>
      <c r="BK47" s="77">
        <f>SUM(BK33:BK46)</f>
        <v>45587.545973389606</v>
      </c>
      <c r="BL47" s="72">
        <f>SUM(BI47:BK47)</f>
        <v>136762.63792016881</v>
      </c>
      <c r="BM47" s="72"/>
      <c r="BN47" s="77">
        <f>SUM(BN33:BN46)</f>
        <v>45587.545973389606</v>
      </c>
      <c r="BO47" s="77">
        <f>SUM(BO33:BO46)</f>
        <v>45587.545973389606</v>
      </c>
      <c r="BP47" s="77">
        <f>SUM(BP33:BP46)</f>
        <v>45587.545973389606</v>
      </c>
      <c r="BQ47" s="72">
        <f>SUM(BN47:BP47)</f>
        <v>136762.63792016881</v>
      </c>
      <c r="BR47" s="72"/>
      <c r="BS47" s="77">
        <f>SUM(BS33:BS46)</f>
        <v>45587.545973389606</v>
      </c>
      <c r="BT47" s="77">
        <f>SUM(BT33:BT46)</f>
        <v>45587.545973389606</v>
      </c>
      <c r="BU47" s="77">
        <f>SUM(BU33:BU46)</f>
        <v>45587.545973389606</v>
      </c>
      <c r="BV47" s="72">
        <f>SUM(BS47:BU47)</f>
        <v>136762.63792016881</v>
      </c>
      <c r="BW47" s="72"/>
      <c r="BX47" s="77">
        <f>SUM(BX33:BX46)</f>
        <v>45587.545973389606</v>
      </c>
      <c r="BY47" s="77">
        <f>SUM(BY33:BY46)</f>
        <v>45587.545973389606</v>
      </c>
      <c r="BZ47" s="77">
        <f>SUM(BZ33:BZ46)</f>
        <v>45587.545973389606</v>
      </c>
      <c r="CA47" s="72">
        <f>SUM(BX47:BZ47)</f>
        <v>136762.63792016881</v>
      </c>
      <c r="CB47" s="72"/>
      <c r="CC47" s="77">
        <f>SUM(CC33:CC46)</f>
        <v>45587.545973389606</v>
      </c>
      <c r="CD47" s="77">
        <f>SUM(CD33:CD46)</f>
        <v>45587.545973389606</v>
      </c>
      <c r="CE47" s="77">
        <f>SUM(CE33:CE46)</f>
        <v>45587.545973389606</v>
      </c>
      <c r="CF47" s="72">
        <f>SUM(CC47:CE47)</f>
        <v>136762.63792016881</v>
      </c>
      <c r="CG47" s="89"/>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3"/>
      <c r="B48" s="40"/>
      <c r="C48" s="108"/>
      <c r="D48" s="40"/>
      <c r="E48" s="42"/>
      <c r="F48" s="106"/>
      <c r="G48" s="67"/>
      <c r="H48" s="67"/>
      <c r="I48" s="67"/>
      <c r="J48" s="67"/>
      <c r="K48" s="67"/>
      <c r="L48" s="67"/>
      <c r="M48" s="67"/>
      <c r="N48" s="67"/>
      <c r="O48" s="67"/>
      <c r="P48" s="67"/>
      <c r="Q48" s="67"/>
      <c r="R48" s="67"/>
      <c r="S48" s="67"/>
      <c r="T48" s="159"/>
      <c r="U48" s="163"/>
      <c r="V48" s="67"/>
      <c r="W48" s="68"/>
      <c r="X48" s="167"/>
      <c r="Y48" s="78"/>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80"/>
      <c r="CG48" s="81"/>
    </row>
    <row r="49" spans="1:175" s="9" customFormat="1" ht="15" customHeight="1" thickBot="1" x14ac:dyDescent="0.2">
      <c r="A49" s="132" t="s">
        <v>208</v>
      </c>
      <c r="B49" s="311"/>
      <c r="C49" s="312"/>
      <c r="D49" s="311"/>
      <c r="E49" s="313"/>
      <c r="F49" s="107">
        <f>AC49</f>
        <v>-123682.37574787604</v>
      </c>
      <c r="G49" s="97">
        <f>AH49</f>
        <v>-155768.6457875082</v>
      </c>
      <c r="H49" s="97">
        <f>AM49</f>
        <v>-151112.64399479475</v>
      </c>
      <c r="I49" s="97">
        <f>AR49</f>
        <v>-141412.6389578511</v>
      </c>
      <c r="J49" s="83">
        <f>SUM(F49:I49)</f>
        <v>-571976.30448803003</v>
      </c>
      <c r="K49" s="97">
        <f>AW49</f>
        <v>-151612.63842203823</v>
      </c>
      <c r="L49" s="95">
        <f>BB49</f>
        <v>-136762.63792016881</v>
      </c>
      <c r="M49" s="95">
        <f>BG49</f>
        <v>-136762.63792016881</v>
      </c>
      <c r="N49" s="95">
        <f>BL49</f>
        <v>-136762.63792016881</v>
      </c>
      <c r="O49" s="83">
        <f>SUM(K49:N49)</f>
        <v>-561900.55218254472</v>
      </c>
      <c r="P49" s="95">
        <f>BQ49</f>
        <v>-136762.63792016881</v>
      </c>
      <c r="Q49" s="95">
        <f>BV49</f>
        <v>-136762.63792016881</v>
      </c>
      <c r="R49" s="95">
        <f>CA49</f>
        <v>-136762.63792016881</v>
      </c>
      <c r="S49" s="95">
        <f>CF49</f>
        <v>-136762.63792016881</v>
      </c>
      <c r="T49" s="308">
        <f>SUM(P49:S49)</f>
        <v>-547050.55168067524</v>
      </c>
      <c r="U49" s="309">
        <f>SUM(U30-U47)</f>
        <v>-503017.55168067524</v>
      </c>
      <c r="V49" s="83">
        <f>SUM(V30-V47)</f>
        <v>-503017.55168067524</v>
      </c>
      <c r="W49" s="310">
        <f>SUM(W30-W47)</f>
        <v>-503017.55168067524</v>
      </c>
      <c r="X49" s="179"/>
      <c r="Y49" s="510">
        <f>SUM(Y30-Y47)</f>
        <v>-1083618.2</v>
      </c>
      <c r="Z49" s="96">
        <f>Z30-Z47</f>
        <v>-41227.458582625346</v>
      </c>
      <c r="AA49" s="96">
        <f>AA30-AA47</f>
        <v>-41227.458582625346</v>
      </c>
      <c r="AB49" s="96">
        <f>AB30-AB47</f>
        <v>-41227.458582625346</v>
      </c>
      <c r="AC49" s="82">
        <f>AC30-AC47</f>
        <v>-123682.37574787604</v>
      </c>
      <c r="AD49" s="82"/>
      <c r="AE49" s="96">
        <f>AE30-AE47</f>
        <v>-51922.881929169402</v>
      </c>
      <c r="AF49" s="96">
        <f>AF30-AF47</f>
        <v>-51922.881929169402</v>
      </c>
      <c r="AG49" s="96">
        <f>AG30-AG47</f>
        <v>-51922.881929169402</v>
      </c>
      <c r="AH49" s="82">
        <f>AH30-AH47</f>
        <v>-155768.6457875082</v>
      </c>
      <c r="AI49" s="82"/>
      <c r="AJ49" s="96">
        <f>AJ30-AJ47</f>
        <v>-50370.881331598248</v>
      </c>
      <c r="AK49" s="96">
        <f>AK30-AK47</f>
        <v>-50370.881331598248</v>
      </c>
      <c r="AL49" s="96">
        <f>AL30-AL47</f>
        <v>-50370.881331598248</v>
      </c>
      <c r="AM49" s="82">
        <f>AM30-AM47</f>
        <v>-151112.64399479475</v>
      </c>
      <c r="AN49" s="82"/>
      <c r="AO49" s="96">
        <f>AO30-AO47</f>
        <v>-47137.546319283705</v>
      </c>
      <c r="AP49" s="96">
        <f>AP30-AP47</f>
        <v>-47137.546319283705</v>
      </c>
      <c r="AQ49" s="96">
        <f>AQ30-AQ47</f>
        <v>-47137.546319283705</v>
      </c>
      <c r="AR49" s="82">
        <f>AR30-AR47</f>
        <v>-141412.6389578511</v>
      </c>
      <c r="AS49" s="82"/>
      <c r="AT49" s="96">
        <f>AT30-AT47</f>
        <v>-50537.546140679406</v>
      </c>
      <c r="AU49" s="96">
        <f>AU30-AU47</f>
        <v>-50537.546140679406</v>
      </c>
      <c r="AV49" s="96">
        <f>AV30-AV47</f>
        <v>-50537.546140679406</v>
      </c>
      <c r="AW49" s="82">
        <f>AW30-AW47</f>
        <v>-151612.63842203823</v>
      </c>
      <c r="AX49" s="82"/>
      <c r="AY49" s="96">
        <f>AY30-AY47</f>
        <v>-45587.545973389606</v>
      </c>
      <c r="AZ49" s="96">
        <f>AZ30-AZ47</f>
        <v>-45587.545973389606</v>
      </c>
      <c r="BA49" s="96">
        <f>BA30-BA47</f>
        <v>-45587.545973389606</v>
      </c>
      <c r="BB49" s="82">
        <f>BB30-BB47</f>
        <v>-136762.63792016881</v>
      </c>
      <c r="BC49" s="82"/>
      <c r="BD49" s="96">
        <f>BD30-BD47</f>
        <v>-45587.545973389606</v>
      </c>
      <c r="BE49" s="96">
        <f>BE30-BE47</f>
        <v>-45587.545973389606</v>
      </c>
      <c r="BF49" s="96">
        <f>BF30-BF47</f>
        <v>-45587.545973389606</v>
      </c>
      <c r="BG49" s="82">
        <f>BG30-BG47</f>
        <v>-136762.63792016881</v>
      </c>
      <c r="BH49" s="82"/>
      <c r="BI49" s="96">
        <f>BI30-BI47</f>
        <v>-45587.545973389606</v>
      </c>
      <c r="BJ49" s="96">
        <f>BJ30-BJ47</f>
        <v>-45587.545973389606</v>
      </c>
      <c r="BK49" s="96">
        <f>BK30-BK47</f>
        <v>-45587.545973389606</v>
      </c>
      <c r="BL49" s="82">
        <f>BL30-BL47</f>
        <v>-136762.63792016881</v>
      </c>
      <c r="BM49" s="82"/>
      <c r="BN49" s="96">
        <f>BN30-BN47</f>
        <v>-45587.545973389606</v>
      </c>
      <c r="BO49" s="96">
        <f>BO30-BO47</f>
        <v>-45587.545973389606</v>
      </c>
      <c r="BP49" s="96">
        <f>BP30-BP47</f>
        <v>-45587.545973389606</v>
      </c>
      <c r="BQ49" s="82">
        <f>BQ30-BQ47</f>
        <v>-136762.63792016881</v>
      </c>
      <c r="BR49" s="82"/>
      <c r="BS49" s="96">
        <f>BS30-BS47</f>
        <v>-45587.545973389606</v>
      </c>
      <c r="BT49" s="96">
        <f>BT30-BT47</f>
        <v>-45587.545973389606</v>
      </c>
      <c r="BU49" s="96">
        <f>BU30-BU47</f>
        <v>-45587.545973389606</v>
      </c>
      <c r="BV49" s="82">
        <f>BV30-BV47</f>
        <v>-136762.63792016881</v>
      </c>
      <c r="BW49" s="82"/>
      <c r="BX49" s="96">
        <f>BX30-BX47</f>
        <v>-45587.545973389606</v>
      </c>
      <c r="BY49" s="96">
        <f>BY30-BY47</f>
        <v>-45587.545973389606</v>
      </c>
      <c r="BZ49" s="96">
        <f>BZ30-BZ47</f>
        <v>-45587.545973389606</v>
      </c>
      <c r="CA49" s="82">
        <f>CA30-CA47</f>
        <v>-136762.63792016881</v>
      </c>
      <c r="CB49" s="82"/>
      <c r="CC49" s="96">
        <f>CC30-CC47</f>
        <v>-45587.545973389606</v>
      </c>
      <c r="CD49" s="96">
        <f>CD30-CD47</f>
        <v>-45587.545973389606</v>
      </c>
      <c r="CE49" s="96">
        <f>CE30-CE47</f>
        <v>-45587.545973389606</v>
      </c>
      <c r="CF49" s="83">
        <f>CF30-CF47</f>
        <v>-136762.63792016881</v>
      </c>
      <c r="CG49" s="310"/>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
      <c r="E50" s="1"/>
      <c r="F50" s="1"/>
      <c r="G50" s="1"/>
      <c r="H50" s="1"/>
      <c r="I50" s="1"/>
      <c r="J50" s="25"/>
      <c r="K50" s="1"/>
      <c r="L50" s="1"/>
      <c r="M50" s="1"/>
      <c r="N50" s="1"/>
      <c r="O50" s="25"/>
      <c r="P50" s="1"/>
      <c r="Q50" s="1"/>
      <c r="R50" s="1"/>
      <c r="S50" s="1"/>
      <c r="T50" s="1"/>
      <c r="U50" s="1"/>
      <c r="V50" s="1"/>
      <c r="W50" s="1"/>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15"/>
      <c r="B51" s="16"/>
      <c r="C51" s="16"/>
      <c r="D51" s="1"/>
      <c r="E51" s="1"/>
      <c r="F51" s="1"/>
      <c r="G51" s="1"/>
      <c r="H51" s="1"/>
      <c r="I51" s="1"/>
      <c r="J51" s="26"/>
      <c r="K51" s="1"/>
      <c r="L51" s="1"/>
      <c r="M51" s="1"/>
      <c r="N51" s="1"/>
      <c r="O51" s="26"/>
      <c r="P51" s="1"/>
      <c r="Q51" s="1"/>
      <c r="R51" s="1"/>
      <c r="S51" s="1"/>
      <c r="T51" s="1"/>
      <c r="U51" s="1"/>
      <c r="V51" s="1"/>
      <c r="W51" s="1"/>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58"/>
      <c r="B52" s="16"/>
      <c r="C52" s="16"/>
      <c r="D52" s="1"/>
      <c r="E52" s="1"/>
      <c r="F52" s="1"/>
      <c r="G52" s="1"/>
      <c r="H52" s="1"/>
      <c r="I52" s="1"/>
      <c r="J52" s="26"/>
      <c r="K52" s="1"/>
      <c r="L52" s="1"/>
      <c r="M52" s="1"/>
      <c r="N52" s="1"/>
      <c r="O52" s="26"/>
      <c r="P52" s="1"/>
      <c r="Q52" s="1"/>
      <c r="R52" s="1"/>
      <c r="S52" s="1"/>
      <c r="T52" s="1"/>
      <c r="U52" s="1"/>
      <c r="V52" s="1"/>
      <c r="W52" s="1"/>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
      <c r="E53" s="1"/>
      <c r="F53" s="1"/>
      <c r="G53" s="1"/>
      <c r="H53" s="1"/>
      <c r="I53" s="1"/>
      <c r="J53" s="26"/>
      <c r="K53" s="1"/>
      <c r="L53" s="1"/>
      <c r="M53" s="1"/>
      <c r="N53" s="1"/>
      <c r="O53" s="26"/>
      <c r="P53" s="1"/>
      <c r="Q53" s="1"/>
      <c r="R53" s="1"/>
      <c r="S53" s="1"/>
      <c r="T53" s="1"/>
      <c r="U53" s="1"/>
      <c r="V53" s="1"/>
      <c r="W53" s="1"/>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15"/>
      <c r="B54" s="200"/>
      <c r="C54" s="200"/>
      <c r="D54" s="1"/>
      <c r="E54" s="1"/>
      <c r="F54" s="1"/>
      <c r="G54" s="1"/>
      <c r="H54" s="1"/>
      <c r="I54" s="1"/>
      <c r="J54" s="26"/>
      <c r="K54" s="1"/>
      <c r="L54" s="1"/>
      <c r="M54" s="1"/>
      <c r="N54" s="1"/>
      <c r="O54" s="26"/>
      <c r="P54" s="1"/>
      <c r="Q54" s="1"/>
      <c r="R54" s="1"/>
      <c r="S54" s="1"/>
      <c r="T54" s="1"/>
      <c r="U54" s="1"/>
      <c r="V54" s="1"/>
      <c r="W54" s="1"/>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
      <c r="E55" s="1"/>
      <c r="F55" s="1"/>
      <c r="G55" s="1"/>
      <c r="H55" s="1"/>
      <c r="I55" s="1"/>
      <c r="J55" s="353" t="s">
        <v>52</v>
      </c>
      <c r="K55" s="1"/>
      <c r="L55" s="1"/>
      <c r="M55" s="1"/>
      <c r="N55" s="1"/>
      <c r="O55" s="23"/>
      <c r="P55" s="1"/>
      <c r="Q55" s="1"/>
      <c r="R55" s="1"/>
      <c r="S55" s="1"/>
      <c r="T55" s="1"/>
      <c r="U55" s="1"/>
      <c r="V55" s="1"/>
      <c r="W55" s="1"/>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
      <c r="E56" s="1"/>
      <c r="F56" s="1"/>
      <c r="G56" s="1"/>
      <c r="H56" s="1"/>
      <c r="I56" s="1"/>
      <c r="J56" s="353" t="s">
        <v>52</v>
      </c>
      <c r="K56" s="1"/>
      <c r="L56" s="1"/>
      <c r="M56" s="1"/>
      <c r="N56" s="1"/>
      <c r="O56" s="23"/>
      <c r="P56" s="1"/>
      <c r="Q56" s="1"/>
      <c r="R56" s="1"/>
      <c r="S56" s="1"/>
      <c r="T56" s="1"/>
      <c r="U56" s="1"/>
      <c r="V56" s="1"/>
      <c r="W56" s="1"/>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25">
      <c r="A57" s="12"/>
      <c r="B57" s="12"/>
      <c r="C57" s="12"/>
      <c r="D57" s="133"/>
      <c r="E57" s="133"/>
      <c r="F57" s="134"/>
      <c r="G57" s="135"/>
      <c r="H57" s="134"/>
      <c r="I57" s="133"/>
      <c r="J57" s="353" t="s">
        <v>52</v>
      </c>
      <c r="K57" s="133"/>
      <c r="L57" s="134"/>
      <c r="M57" s="133"/>
      <c r="N57" s="134"/>
      <c r="O57" s="24"/>
      <c r="P57" s="134"/>
      <c r="Q57"/>
      <c r="R57"/>
      <c r="S57"/>
      <c r="T57"/>
      <c r="U57"/>
      <c r="V57"/>
      <c r="W57"/>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
      <c r="E58" s="1"/>
      <c r="F58" s="1"/>
      <c r="G58" s="1"/>
      <c r="H58" s="1"/>
      <c r="I58" s="1"/>
      <c r="J58" s="353"/>
      <c r="K58" s="1"/>
      <c r="L58" s="1"/>
      <c r="M58" s="1"/>
      <c r="N58" s="1"/>
      <c r="O58" s="24"/>
      <c r="P58" s="1"/>
      <c r="Q58" s="1"/>
      <c r="R58" s="1"/>
      <c r="S58" s="1"/>
      <c r="T58" s="1"/>
      <c r="U58" s="1"/>
      <c r="V58" s="1"/>
      <c r="W58" s="1"/>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
      <c r="E59" s="1"/>
      <c r="F59" s="1"/>
      <c r="G59" s="1"/>
      <c r="H59" s="1"/>
      <c r="I59" s="1"/>
      <c r="J59" s="353"/>
      <c r="K59" s="1"/>
      <c r="L59" s="1"/>
      <c r="M59" s="1"/>
      <c r="N59" s="1"/>
      <c r="O59" s="23"/>
      <c r="P59" s="1"/>
      <c r="Q59" s="1"/>
      <c r="R59" s="1"/>
      <c r="S59" s="1"/>
      <c r="T59" s="1"/>
      <c r="U59" s="1"/>
      <c r="V59" s="1"/>
      <c r="W59" s="1"/>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59"/>
      <c r="C60" s="12"/>
      <c r="D60" s="1"/>
      <c r="E60" s="1"/>
      <c r="F60" s="1"/>
      <c r="G60" s="1"/>
      <c r="H60" s="1"/>
      <c r="I60" s="1"/>
      <c r="J60" s="353"/>
      <c r="K60" s="1"/>
      <c r="L60" s="1"/>
      <c r="M60" s="1"/>
      <c r="N60" s="1"/>
      <c r="O60" s="23"/>
      <c r="P60" s="1"/>
      <c r="Q60" s="1"/>
      <c r="R60" s="1"/>
      <c r="S60" s="1"/>
      <c r="T60" s="1"/>
      <c r="U60" s="1"/>
      <c r="V60" s="1"/>
      <c r="W60" s="1"/>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59"/>
      <c r="C61" s="12"/>
      <c r="D61" s="1"/>
      <c r="E61" s="1"/>
      <c r="F61" s="1"/>
      <c r="G61" s="1"/>
      <c r="H61" s="1"/>
      <c r="I61" s="1"/>
      <c r="J61" s="353"/>
      <c r="K61" s="1"/>
      <c r="L61" s="1"/>
      <c r="M61" s="1"/>
      <c r="N61" s="1"/>
      <c r="O61" s="23"/>
      <c r="P61" s="1"/>
      <c r="Q61" s="1"/>
      <c r="R61" s="1"/>
      <c r="S61" s="1"/>
      <c r="T61" s="1"/>
      <c r="U61" s="1"/>
      <c r="V61" s="1"/>
      <c r="W61" s="1"/>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
      <c r="E62" s="1"/>
      <c r="F62" s="1"/>
      <c r="G62" s="1"/>
      <c r="H62" s="1"/>
      <c r="I62" s="1"/>
      <c r="J62" s="353" t="s">
        <v>52</v>
      </c>
      <c r="K62" s="1"/>
      <c r="L62" s="1"/>
      <c r="M62" s="1"/>
      <c r="N62" s="1"/>
      <c r="O62" s="23"/>
      <c r="P62" s="1"/>
      <c r="Q62" s="1"/>
      <c r="R62" s="1"/>
      <c r="S62" s="1"/>
      <c r="T62" s="1"/>
      <c r="U62" s="1"/>
      <c r="V62" s="1"/>
      <c r="W62" s="1"/>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
      <c r="E63" s="1"/>
      <c r="F63" s="1"/>
      <c r="G63" s="1"/>
      <c r="H63" s="1"/>
      <c r="I63" s="1"/>
      <c r="J63" s="352" t="s">
        <v>52</v>
      </c>
      <c r="K63" s="1"/>
      <c r="L63" s="1"/>
      <c r="M63" s="1"/>
      <c r="N63" s="1"/>
      <c r="O63" s="26"/>
      <c r="P63" s="1"/>
      <c r="Q63" s="1"/>
      <c r="R63" s="1"/>
      <c r="S63" s="1"/>
      <c r="T63" s="1"/>
      <c r="U63" s="1"/>
      <c r="V63" s="1"/>
      <c r="W63" s="1"/>
      <c r="X63" s="26"/>
      <c r="Y63" s="26"/>
      <c r="Z63" s="12"/>
      <c r="AA63" s="13"/>
      <c r="AB63" s="13"/>
      <c r="AC63" s="13"/>
      <c r="AD63" s="111"/>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59"/>
      <c r="C64" s="12"/>
      <c r="D64" s="1"/>
      <c r="E64" s="1"/>
      <c r="F64" s="1"/>
      <c r="G64" s="1"/>
      <c r="H64" s="1"/>
      <c r="I64" s="1"/>
      <c r="J64" s="352"/>
      <c r="K64" s="1"/>
      <c r="L64" s="1"/>
      <c r="M64" s="1"/>
      <c r="N64" s="1"/>
      <c r="O64" s="26"/>
      <c r="P64" s="1"/>
      <c r="Q64" s="1"/>
      <c r="R64" s="1"/>
      <c r="S64" s="1"/>
      <c r="T64" s="1"/>
      <c r="U64" s="1"/>
      <c r="V64" s="1"/>
      <c r="W64" s="1"/>
      <c r="X64" s="26"/>
      <c r="Y64" s="26"/>
      <c r="Z64" s="12"/>
      <c r="AA64" s="13"/>
      <c r="AB64" s="13"/>
      <c r="AC64" s="13"/>
      <c r="AD64" s="111"/>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J65" s="354" t="s">
        <v>52</v>
      </c>
      <c r="O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
      <c r="E66" s="1"/>
      <c r="F66" s="1"/>
      <c r="G66" s="1"/>
      <c r="H66" s="1"/>
      <c r="I66" s="1"/>
      <c r="J66" s="353" t="s">
        <v>52</v>
      </c>
      <c r="K66" s="1"/>
      <c r="L66" s="1"/>
      <c r="M66" s="1"/>
      <c r="N66" s="1"/>
      <c r="O66" s="23"/>
      <c r="P66" s="1"/>
      <c r="Q66" s="1"/>
      <c r="R66" s="1"/>
      <c r="S66" s="1"/>
      <c r="T66" s="1"/>
      <c r="U66" s="1"/>
      <c r="V66" s="1"/>
      <c r="W66" s="1"/>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
      <c r="E67" s="1"/>
      <c r="F67" s="1"/>
      <c r="G67" s="1"/>
      <c r="H67" s="1"/>
      <c r="I67" s="1"/>
      <c r="J67" s="353" t="s">
        <v>52</v>
      </c>
      <c r="K67" s="1"/>
      <c r="L67" s="1"/>
      <c r="M67" s="1"/>
      <c r="N67" s="1"/>
      <c r="O67" s="23"/>
      <c r="P67" s="1"/>
      <c r="Q67" s="1"/>
      <c r="R67" s="1"/>
      <c r="S67" s="1"/>
      <c r="T67" s="1"/>
      <c r="U67" s="1"/>
      <c r="V67" s="1"/>
      <c r="W67" s="1"/>
      <c r="X67" s="23"/>
      <c r="Y67" s="23"/>
      <c r="Z67" s="13"/>
      <c r="AA67" s="13"/>
      <c r="AB67" s="13"/>
      <c r="AC67" s="13"/>
      <c r="AD67" s="13"/>
      <c r="AE67" s="13"/>
      <c r="AF67" s="13"/>
      <c r="AG67" s="13"/>
      <c r="AH67" s="13"/>
      <c r="AI67" s="13"/>
      <c r="AJ67" s="13"/>
      <c r="AK67" s="13"/>
      <c r="AL67" s="13"/>
    </row>
    <row r="68" spans="1:85" s="9" customFormat="1" ht="11.25" customHeight="1" x14ac:dyDescent="0.15">
      <c r="A68" s="12"/>
      <c r="B68" s="359"/>
      <c r="C68" s="12"/>
      <c r="D68" s="1"/>
      <c r="E68" s="1"/>
      <c r="F68" s="1"/>
      <c r="G68" s="1"/>
      <c r="H68" s="1"/>
      <c r="I68" s="1"/>
      <c r="J68" s="353"/>
      <c r="K68" s="1"/>
      <c r="L68" s="1"/>
      <c r="M68" s="1"/>
      <c r="N68" s="1"/>
      <c r="O68" s="23"/>
      <c r="P68" s="1"/>
      <c r="Q68" s="1"/>
      <c r="R68" s="1"/>
      <c r="S68" s="1"/>
      <c r="T68" s="1"/>
      <c r="U68" s="1"/>
      <c r="V68" s="1"/>
      <c r="W68" s="1"/>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
      <c r="E69" s="1"/>
      <c r="F69" s="1"/>
      <c r="G69" s="1"/>
      <c r="H69" s="1"/>
      <c r="I69" s="1"/>
      <c r="J69" s="352"/>
      <c r="K69" s="1"/>
      <c r="L69" s="1"/>
      <c r="M69" s="1"/>
      <c r="N69" s="1"/>
      <c r="O69" s="26"/>
      <c r="P69" s="1"/>
      <c r="Q69" s="1"/>
      <c r="R69" s="1"/>
      <c r="S69" s="1"/>
      <c r="T69" s="1"/>
      <c r="U69" s="1"/>
      <c r="V69" s="1"/>
      <c r="W69" s="1"/>
      <c r="X69" s="26"/>
      <c r="Y69" s="26"/>
      <c r="Z69" s="12"/>
      <c r="AA69" s="13"/>
      <c r="AB69" s="13"/>
      <c r="AC69" s="13"/>
      <c r="AD69" s="111"/>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
      <c r="E70" s="1"/>
      <c r="F70" s="1"/>
      <c r="G70" s="1"/>
      <c r="H70" s="1"/>
      <c r="I70" s="1"/>
      <c r="J70" s="352"/>
      <c r="K70" s="1"/>
      <c r="L70" s="1"/>
      <c r="M70" s="1"/>
      <c r="N70" s="1"/>
      <c r="O70" s="26"/>
      <c r="P70" s="1"/>
      <c r="Q70" s="1"/>
      <c r="R70" s="1"/>
      <c r="S70" s="1"/>
      <c r="T70" s="1"/>
      <c r="U70" s="1"/>
      <c r="V70" s="1"/>
      <c r="W70" s="1"/>
      <c r="X70" s="26"/>
      <c r="Y70" s="26"/>
      <c r="Z70" s="12"/>
      <c r="AA70" s="13"/>
      <c r="AB70" s="13"/>
      <c r="AC70" s="13"/>
      <c r="AD70" s="111"/>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199"/>
      <c r="B71" s="12"/>
      <c r="C71" s="12"/>
      <c r="D71" s="1"/>
      <c r="E71" s="1"/>
      <c r="F71" s="1"/>
      <c r="G71" s="1"/>
      <c r="H71" s="1"/>
      <c r="I71" s="1"/>
      <c r="J71" s="353" t="s">
        <v>52</v>
      </c>
      <c r="K71" s="1"/>
      <c r="L71" s="1"/>
      <c r="M71" s="1"/>
      <c r="N71" s="1"/>
      <c r="O71" s="23"/>
      <c r="P71" s="1"/>
      <c r="Q71" s="1"/>
      <c r="R71" s="1"/>
      <c r="S71" s="1"/>
      <c r="T71" s="1"/>
      <c r="U71" s="1"/>
      <c r="V71" s="1"/>
      <c r="W71" s="1"/>
      <c r="X71" s="23"/>
      <c r="Y71" s="23"/>
      <c r="Z71" s="13"/>
      <c r="AA71" s="13"/>
      <c r="AB71" s="20"/>
      <c r="AC71" s="13"/>
      <c r="AD71" s="13"/>
      <c r="AE71" s="13"/>
      <c r="AF71" s="13"/>
      <c r="AG71" s="13"/>
      <c r="AH71" s="13"/>
      <c r="AI71" s="13"/>
      <c r="AJ71" s="13"/>
      <c r="AK71" s="13"/>
      <c r="AL71" s="13"/>
    </row>
    <row r="72" spans="1:85" x14ac:dyDescent="0.2">
      <c r="A72" s="201"/>
      <c r="B72" s="14"/>
      <c r="C72" s="14"/>
      <c r="J72" s="354" t="s">
        <v>52</v>
      </c>
      <c r="O72" s="27"/>
      <c r="X72" s="27"/>
      <c r="Y72" s="27"/>
    </row>
    <row r="73" spans="1:85" x14ac:dyDescent="0.2">
      <c r="A73" s="12"/>
      <c r="B73" s="12"/>
      <c r="C73" s="200"/>
      <c r="J73" s="354" t="s">
        <v>52</v>
      </c>
      <c r="O73" s="27"/>
      <c r="X73" s="27"/>
      <c r="Y73" s="27"/>
      <c r="Z73" s="5"/>
      <c r="AA73" s="5"/>
      <c r="AB73" s="5"/>
      <c r="AC73" s="5"/>
      <c r="AD73" s="5"/>
      <c r="AE73" s="5"/>
      <c r="AF73" s="5"/>
      <c r="AG73" s="5"/>
      <c r="AH73" s="5"/>
      <c r="AI73" s="5"/>
      <c r="AJ73" s="5"/>
      <c r="AK73" s="5"/>
      <c r="AL73" s="5"/>
    </row>
    <row r="74" spans="1:85" x14ac:dyDescent="0.2">
      <c r="A74" s="12"/>
      <c r="B74" s="14"/>
      <c r="C74" s="12"/>
      <c r="J74" s="354" t="s">
        <v>52</v>
      </c>
      <c r="O74" s="27"/>
      <c r="X74" s="27"/>
      <c r="Y74" s="27"/>
      <c r="Z74" s="5"/>
      <c r="AA74" s="5"/>
      <c r="AB74" s="5"/>
    </row>
    <row r="75" spans="1:85" x14ac:dyDescent="0.2">
      <c r="A75" s="12"/>
      <c r="B75" s="14"/>
      <c r="C75" s="12"/>
      <c r="J75" s="354"/>
      <c r="O75" s="27"/>
      <c r="X75" s="27"/>
      <c r="Y75" s="27"/>
      <c r="Z75" s="5"/>
      <c r="AA75" s="5"/>
      <c r="AB75" s="5"/>
    </row>
    <row r="76" spans="1:85" x14ac:dyDescent="0.2">
      <c r="A76" s="3"/>
      <c r="B76" s="1"/>
      <c r="C76" s="1"/>
      <c r="J76" s="353" t="s">
        <v>52</v>
      </c>
      <c r="O76" s="28"/>
      <c r="X76" s="28"/>
      <c r="Y76" s="28"/>
    </row>
    <row r="77" spans="1:85" s="9" customFormat="1" ht="11.25" customHeight="1" x14ac:dyDescent="0.15">
      <c r="A77" s="199"/>
      <c r="B77" s="12"/>
      <c r="C77" s="12"/>
      <c r="D77" s="1"/>
      <c r="E77" s="1"/>
      <c r="F77" s="1"/>
      <c r="G77" s="1"/>
      <c r="H77" s="1"/>
      <c r="I77" s="1"/>
      <c r="J77" s="353" t="s">
        <v>52</v>
      </c>
      <c r="K77" s="1"/>
      <c r="L77" s="1"/>
      <c r="M77" s="1"/>
      <c r="N77" s="1"/>
      <c r="O77" s="24"/>
      <c r="P77" s="1"/>
      <c r="Q77" s="1"/>
      <c r="R77" s="1"/>
      <c r="S77" s="1"/>
      <c r="T77" s="1"/>
      <c r="U77" s="1"/>
      <c r="V77" s="1"/>
      <c r="W77" s="1"/>
      <c r="X77" s="24"/>
      <c r="Y77" s="24"/>
      <c r="Z77" s="13"/>
      <c r="AA77" s="13"/>
      <c r="AB77" s="13"/>
      <c r="AC77" s="13"/>
      <c r="AD77" s="13"/>
      <c r="AE77" s="13"/>
      <c r="AF77" s="13"/>
      <c r="AG77" s="13"/>
      <c r="AH77" s="13"/>
      <c r="AI77" s="13"/>
      <c r="AJ77" s="13"/>
      <c r="AK77" s="13"/>
      <c r="AL77" s="13"/>
    </row>
    <row r="78" spans="1:85" x14ac:dyDescent="0.2">
      <c r="B78" s="1"/>
      <c r="C78" s="1"/>
      <c r="J78" s="352" t="s">
        <v>52</v>
      </c>
      <c r="O78" s="27"/>
      <c r="X78" s="27"/>
      <c r="Y78" s="27"/>
    </row>
    <row r="79" spans="1:85" x14ac:dyDescent="0.2">
      <c r="J79" s="353" t="s">
        <v>52</v>
      </c>
      <c r="O79" s="27"/>
      <c r="X79" s="27"/>
      <c r="Y79" s="27"/>
    </row>
    <row r="80" spans="1:85" x14ac:dyDescent="0.2">
      <c r="J80" s="353" t="s">
        <v>52</v>
      </c>
      <c r="O80" s="29"/>
      <c r="X80" s="29"/>
      <c r="Y80" s="29"/>
    </row>
    <row r="81" spans="1:25" x14ac:dyDescent="0.2">
      <c r="J81" s="353" t="s">
        <v>52</v>
      </c>
      <c r="L81" s="3"/>
      <c r="M81" s="3" t="s">
        <v>67</v>
      </c>
      <c r="O81" s="27"/>
      <c r="X81" s="27"/>
      <c r="Y81" s="27"/>
    </row>
    <row r="82" spans="1:25" x14ac:dyDescent="0.2">
      <c r="J82" s="353" t="s">
        <v>52</v>
      </c>
    </row>
    <row r="83" spans="1:25" x14ac:dyDescent="0.2">
      <c r="J83" s="353" t="s">
        <v>52</v>
      </c>
    </row>
    <row r="84" spans="1:25" x14ac:dyDescent="0.2">
      <c r="C84" s="3" t="s">
        <v>225</v>
      </c>
      <c r="J84" s="352" t="s">
        <v>52</v>
      </c>
      <c r="M84" s="3" t="s">
        <v>226</v>
      </c>
    </row>
    <row r="85" spans="1:25" x14ac:dyDescent="0.2">
      <c r="J85" s="353" t="s">
        <v>52</v>
      </c>
    </row>
    <row r="86" spans="1:25" x14ac:dyDescent="0.2">
      <c r="J86" s="353" t="s">
        <v>52</v>
      </c>
    </row>
    <row r="87" spans="1:25" x14ac:dyDescent="0.2">
      <c r="J87" s="353" t="s">
        <v>52</v>
      </c>
    </row>
    <row r="88" spans="1:25" x14ac:dyDescent="0.2">
      <c r="A88" s="3"/>
      <c r="J88" s="353" t="s">
        <v>52</v>
      </c>
    </row>
    <row r="89" spans="1:25" x14ac:dyDescent="0.2">
      <c r="J89" s="353" t="s">
        <v>52</v>
      </c>
    </row>
    <row r="90" spans="1:25" x14ac:dyDescent="0.2">
      <c r="J90" s="353" t="s">
        <v>52</v>
      </c>
    </row>
    <row r="91" spans="1:25" x14ac:dyDescent="0.2">
      <c r="J91" s="353" t="s">
        <v>52</v>
      </c>
    </row>
    <row r="92" spans="1:25" x14ac:dyDescent="0.2">
      <c r="J92" s="353" t="s">
        <v>52</v>
      </c>
    </row>
    <row r="93" spans="1:25" x14ac:dyDescent="0.2">
      <c r="J93" s="353" t="s">
        <v>52</v>
      </c>
    </row>
    <row r="94" spans="1:25" x14ac:dyDescent="0.2">
      <c r="J94" s="354" t="s">
        <v>52</v>
      </c>
      <c r="O94" s="3"/>
      <c r="X94" s="4"/>
      <c r="Y94" s="3"/>
    </row>
    <row r="95" spans="1:25" x14ac:dyDescent="0.2">
      <c r="J95" s="354" t="s">
        <v>52</v>
      </c>
    </row>
    <row r="96" spans="1:25" x14ac:dyDescent="0.2">
      <c r="J96" s="354"/>
    </row>
    <row r="97" spans="3:28" x14ac:dyDescent="0.2">
      <c r="J97" s="354"/>
    </row>
    <row r="104" spans="3:28" ht="15" x14ac:dyDescent="0.25">
      <c r="J104" s="134"/>
      <c r="O104" s="133"/>
      <c r="X104" s="166"/>
      <c r="Y104"/>
      <c r="Z104"/>
      <c r="AA104"/>
      <c r="AB104"/>
    </row>
    <row r="112" spans="3:28" x14ac:dyDescent="0.2">
      <c r="C112" s="3" t="s">
        <v>228</v>
      </c>
    </row>
    <row r="170" spans="12:16" x14ac:dyDescent="0.2">
      <c r="L170" s="1" t="s">
        <v>15</v>
      </c>
      <c r="M170" s="1" t="s">
        <v>16</v>
      </c>
      <c r="N170" s="1">
        <v>2021</v>
      </c>
      <c r="P170" s="1">
        <v>2023</v>
      </c>
    </row>
    <row r="175" spans="12:16" x14ac:dyDescent="0.2">
      <c r="L175" s="3" t="s">
        <v>68</v>
      </c>
    </row>
    <row r="178" spans="12:12" x14ac:dyDescent="0.2">
      <c r="L178" s="3" t="s">
        <v>240</v>
      </c>
    </row>
    <row r="260" spans="2:16" x14ac:dyDescent="0.2">
      <c r="B260" s="625" t="s">
        <v>11</v>
      </c>
      <c r="C260" s="625" t="s">
        <v>12</v>
      </c>
      <c r="D260" s="625" t="s">
        <v>13</v>
      </c>
      <c r="E260" s="625" t="s">
        <v>10</v>
      </c>
      <c r="F260" s="625" t="s">
        <v>9</v>
      </c>
      <c r="G260" s="625" t="s">
        <v>8</v>
      </c>
      <c r="H260" s="625" t="s">
        <v>15</v>
      </c>
      <c r="I260" s="625" t="s">
        <v>16</v>
      </c>
      <c r="J260" s="625" t="s">
        <v>256</v>
      </c>
      <c r="K260" s="625" t="s">
        <v>257</v>
      </c>
      <c r="L260" s="625" t="s">
        <v>258</v>
      </c>
      <c r="M260" s="625" t="s">
        <v>255</v>
      </c>
      <c r="N260" s="1">
        <v>2022</v>
      </c>
      <c r="O260" s="1">
        <v>2023</v>
      </c>
      <c r="P260" s="1">
        <v>2024</v>
      </c>
    </row>
  </sheetData>
  <mergeCells count="13">
    <mergeCell ref="U2:W2"/>
    <mergeCell ref="D4:E4"/>
    <mergeCell ref="D29:E29"/>
    <mergeCell ref="D5:E5"/>
    <mergeCell ref="B29:C29"/>
    <mergeCell ref="P1:S1"/>
    <mergeCell ref="B2:C2"/>
    <mergeCell ref="D2:E2"/>
    <mergeCell ref="A1:A2"/>
    <mergeCell ref="B1:C1"/>
    <mergeCell ref="D1:E1"/>
    <mergeCell ref="F1:I1"/>
    <mergeCell ref="K1:N1"/>
  </mergeCells>
  <conditionalFormatting sqref="Z49:AB49 AE49:AG49 AJ49:AL49 AO49:AQ49 AY49:BA49 BD49:BF49 BI49:BK49 BN49:BP49 BS49:BU49 BX49:BZ49 CC49:CE49">
    <cfRule type="cellIs" dxfId="49" priority="11" operator="lessThan">
      <formula>0</formula>
    </cfRule>
    <cfRule type="cellIs" dxfId="48" priority="12" operator="greaterThan">
      <formula>0</formula>
    </cfRule>
  </conditionalFormatting>
  <conditionalFormatting sqref="Z49:AB49 AE49:AG49 AJ49:AL49 AO49:AQ49 AY49:BA49 BD49:BF49 BI49:BK49 BN49:BP49 BS49:BU49 BX49:BZ49 CC49:CE49 AT49:AV49">
    <cfRule type="cellIs" dxfId="47" priority="9" operator="lessThan">
      <formula>0</formula>
    </cfRule>
    <cfRule type="cellIs" dxfId="46" priority="10" operator="greaterThan">
      <formula>0</formula>
    </cfRule>
  </conditionalFormatting>
  <conditionalFormatting sqref="U49:W49">
    <cfRule type="cellIs" dxfId="45" priority="1" operator="lessThan">
      <formula>0</formula>
    </cfRule>
    <cfRule type="cellIs" dxfId="44" priority="2" operator="greaterThan">
      <formula>0</formula>
    </cfRule>
  </conditionalFormatting>
  <conditionalFormatting sqref="F49:I49 K49:N49 P49:S49">
    <cfRule type="cellIs" dxfId="43" priority="5" operator="lessThan">
      <formula>0</formula>
    </cfRule>
    <cfRule type="cellIs" dxfId="42" priority="6" operator="greaterThan">
      <formula>0</formula>
    </cfRule>
  </conditionalFormatting>
  <conditionalFormatting sqref="F49:I49 K49:N49 P49:S49">
    <cfRule type="cellIs" dxfId="41" priority="3" operator="lessThan">
      <formula>0</formula>
    </cfRule>
    <cfRule type="cellIs" dxfId="40" priority="4"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50"/>
  <sheetViews>
    <sheetView tabSelected="1" zoomScale="120" zoomScaleNormal="120" workbookViewId="0">
      <selection activeCell="A29" sqref="A29"/>
    </sheetView>
  </sheetViews>
  <sheetFormatPr baseColWidth="10" defaultRowHeight="14.25" x14ac:dyDescent="0.2"/>
  <cols>
    <col min="1" max="1" width="53.140625" style="623" customWidth="1"/>
    <col min="2" max="7" width="27.28515625" style="623" customWidth="1"/>
    <col min="8" max="72" width="11.42578125" style="522"/>
    <col min="176" max="16384" width="11.42578125" style="522"/>
  </cols>
  <sheetData>
    <row r="1" spans="1:72" s="522" customFormat="1" ht="21.75" customHeight="1" x14ac:dyDescent="0.2">
      <c r="A1" s="653" t="s">
        <v>244</v>
      </c>
      <c r="B1" s="655">
        <v>2019</v>
      </c>
      <c r="C1" s="657">
        <v>2020</v>
      </c>
      <c r="D1" s="659">
        <v>2021</v>
      </c>
      <c r="E1" s="661">
        <v>2022</v>
      </c>
      <c r="F1" s="661">
        <v>2023</v>
      </c>
      <c r="G1" s="649">
        <v>2024</v>
      </c>
    </row>
    <row r="2" spans="1:72" s="522" customFormat="1" ht="14.25" customHeight="1" thickBot="1" x14ac:dyDescent="0.25">
      <c r="A2" s="654"/>
      <c r="B2" s="656"/>
      <c r="C2" s="658"/>
      <c r="D2" s="660"/>
      <c r="E2" s="662"/>
      <c r="F2" s="662"/>
      <c r="G2" s="650"/>
    </row>
    <row r="3" spans="1:72" s="529" customFormat="1" ht="21.75" customHeight="1" x14ac:dyDescent="0.2">
      <c r="A3" s="523" t="s">
        <v>263</v>
      </c>
      <c r="B3" s="524">
        <f>[1]Realistisch!J8</f>
        <v>54368.610829552868</v>
      </c>
      <c r="C3" s="525">
        <f>[1]Realistisch!O8</f>
        <v>190369.08638215193</v>
      </c>
      <c r="D3" s="526">
        <f>[1]Realistisch!T8</f>
        <v>1363629.6461570859</v>
      </c>
      <c r="E3" s="525">
        <f>[1]Realistisch!U8</f>
        <v>2788039.4718378671</v>
      </c>
      <c r="F3" s="525">
        <f>[1]Realistisch!V8</f>
        <v>5832666.327937373</v>
      </c>
      <c r="G3" s="527">
        <f>[1]Realistisch!W8</f>
        <v>7995320.4278125549</v>
      </c>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c r="BO3" s="528"/>
      <c r="BP3" s="528"/>
      <c r="BQ3" s="528"/>
      <c r="BR3" s="528"/>
      <c r="BS3" s="528"/>
      <c r="BT3" s="528"/>
    </row>
    <row r="4" spans="1:72" s="529" customFormat="1" ht="21.75" customHeight="1" x14ac:dyDescent="0.2">
      <c r="A4" s="530" t="s">
        <v>264</v>
      </c>
      <c r="B4" s="531">
        <f>[1]Realistisch!J14</f>
        <v>4.4692085450117833</v>
      </c>
      <c r="C4" s="532">
        <f>[1]Realistisch!O14</f>
        <v>4.2514387333466326</v>
      </c>
      <c r="D4" s="533">
        <f>[1]Realistisch!T14</f>
        <v>2.2164008603190868</v>
      </c>
      <c r="E4" s="532">
        <f>[1]Realistisch!U14</f>
        <v>0.73899944446209509</v>
      </c>
      <c r="F4" s="532">
        <f>[1]Realistisch!V14</f>
        <v>0.58821758864113283</v>
      </c>
      <c r="G4" s="534">
        <f>[1]Realistisch!W14</f>
        <v>0.43470336866094678</v>
      </c>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c r="AT4" s="528"/>
      <c r="AU4" s="528"/>
      <c r="AV4" s="528"/>
      <c r="AW4" s="528"/>
      <c r="AX4" s="528"/>
      <c r="AY4" s="528"/>
      <c r="AZ4" s="528"/>
      <c r="BA4" s="528"/>
      <c r="BB4" s="528"/>
      <c r="BC4" s="528"/>
      <c r="BD4" s="528"/>
      <c r="BE4" s="528"/>
      <c r="BF4" s="528"/>
      <c r="BG4" s="528"/>
      <c r="BH4" s="528"/>
      <c r="BI4" s="528"/>
      <c r="BJ4" s="528"/>
      <c r="BK4" s="528"/>
      <c r="BL4" s="528"/>
      <c r="BM4" s="528"/>
      <c r="BN4" s="528"/>
      <c r="BO4" s="528"/>
      <c r="BP4" s="528"/>
      <c r="BQ4" s="528"/>
      <c r="BR4" s="528"/>
      <c r="BS4" s="528"/>
      <c r="BT4" s="528"/>
    </row>
    <row r="5" spans="1:72" s="529" customFormat="1" ht="21.75" customHeight="1" x14ac:dyDescent="0.2">
      <c r="A5" s="535" t="s">
        <v>265</v>
      </c>
      <c r="B5" s="536">
        <f>[1]Realistisch!J15</f>
        <v>55.167806032543233</v>
      </c>
      <c r="C5" s="537">
        <f>[1]Realistisch!O15</f>
        <v>3.6591750660109783</v>
      </c>
      <c r="D5" s="538">
        <f>[1]Realistisch!T15</f>
        <v>1.1245383470160082</v>
      </c>
      <c r="E5" s="539">
        <f>[1]Realistisch!U15</f>
        <v>0.2</v>
      </c>
      <c r="F5" s="539">
        <f>[1]Realistisch!V15</f>
        <v>0.2</v>
      </c>
      <c r="G5" s="540">
        <f>[1]Realistisch!W15</f>
        <v>0.2</v>
      </c>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c r="AR5" s="528"/>
      <c r="AS5" s="528"/>
      <c r="AT5" s="528"/>
      <c r="AU5" s="528"/>
      <c r="AV5" s="528"/>
      <c r="AW5" s="528"/>
      <c r="AX5" s="528"/>
      <c r="AY5" s="528"/>
      <c r="AZ5" s="528"/>
      <c r="BA5" s="528"/>
      <c r="BB5" s="528"/>
      <c r="BC5" s="528"/>
      <c r="BD5" s="528"/>
      <c r="BE5" s="528"/>
      <c r="BF5" s="528"/>
      <c r="BG5" s="528"/>
      <c r="BH5" s="528"/>
      <c r="BI5" s="528"/>
      <c r="BJ5" s="528"/>
      <c r="BK5" s="528"/>
      <c r="BL5" s="528"/>
      <c r="BM5" s="528"/>
      <c r="BN5" s="528"/>
      <c r="BO5" s="528"/>
      <c r="BP5" s="528"/>
      <c r="BQ5" s="528"/>
      <c r="BR5" s="528"/>
      <c r="BS5" s="528"/>
      <c r="BT5" s="528"/>
    </row>
    <row r="6" spans="1:72" s="547" customFormat="1" ht="21.75" customHeight="1" x14ac:dyDescent="0.2">
      <c r="A6" s="541" t="s">
        <v>249</v>
      </c>
      <c r="B6" s="542" t="s">
        <v>250</v>
      </c>
      <c r="C6" s="543">
        <f>[1]Realistisch!O16</f>
        <v>3.7651414334841133</v>
      </c>
      <c r="D6" s="544">
        <f>[1]Realistisch!T16</f>
        <v>6.6925617479475878</v>
      </c>
      <c r="E6" s="543">
        <f>[1]Realistisch!U16</f>
        <v>1.9217133924917169</v>
      </c>
      <c r="F6" s="543">
        <f>[1]Realistisch!V16</f>
        <v>1.3782808533306281</v>
      </c>
      <c r="G6" s="545">
        <f>[1]Realistisch!W16</f>
        <v>0.80535169593839151</v>
      </c>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row>
    <row r="7" spans="1:72" s="547" customFormat="1" ht="21.75" customHeight="1" x14ac:dyDescent="0.2">
      <c r="A7" s="541" t="s">
        <v>251</v>
      </c>
      <c r="B7" s="548">
        <f>[1]Realistisch!J17</f>
        <v>53507.231534220366</v>
      </c>
      <c r="C7" s="549">
        <f>[1]Realistisch!O17</f>
        <v>207110.00659074698</v>
      </c>
      <c r="D7" s="550">
        <f>[1]Realistisch!T17</f>
        <v>1754235.8013528257</v>
      </c>
      <c r="E7" s="549">
        <f>[1]Realistisch!U17</f>
        <v>3874852.639955854</v>
      </c>
      <c r="F7" s="549">
        <f>[1]Realistisch!V17</f>
        <v>8119735.9909960506</v>
      </c>
      <c r="G7" s="551">
        <f>[1]Realistisch!W17</f>
        <v>11283735.635974439</v>
      </c>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row>
    <row r="8" spans="1:72" s="522" customFormat="1" ht="21.75" customHeight="1" x14ac:dyDescent="0.2">
      <c r="A8" s="552" t="s">
        <v>252</v>
      </c>
      <c r="B8" s="553">
        <f>[1]Realistisch!J18</f>
        <v>55007.231534220366</v>
      </c>
      <c r="C8" s="554">
        <f>[1]Realistisch!O18</f>
        <v>262117.23812496735</v>
      </c>
      <c r="D8" s="555">
        <f>[1]Realistisch!T18</f>
        <v>2016353.039477793</v>
      </c>
      <c r="E8" s="554">
        <f>[1]Realistisch!U18</f>
        <v>5891205.6794336475</v>
      </c>
      <c r="F8" s="554">
        <f>[1]Realistisch!V18</f>
        <v>14010941.670429699</v>
      </c>
      <c r="G8" s="556">
        <f>[1]Realistisch!W18</f>
        <v>25294677.306404136</v>
      </c>
      <c r="H8" s="557"/>
      <c r="I8" s="557"/>
      <c r="J8" s="557"/>
      <c r="K8" s="557"/>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557"/>
      <c r="BH8" s="557"/>
      <c r="BI8" s="557"/>
      <c r="BJ8" s="557"/>
      <c r="BK8" s="557"/>
      <c r="BL8" s="557"/>
      <c r="BM8" s="557"/>
      <c r="BN8" s="557"/>
      <c r="BO8" s="557"/>
      <c r="BP8" s="557"/>
      <c r="BQ8" s="557"/>
      <c r="BR8" s="557"/>
      <c r="BS8" s="557"/>
      <c r="BT8" s="557"/>
    </row>
    <row r="9" spans="1:72" s="557" customFormat="1" ht="15.75" thickBot="1" x14ac:dyDescent="0.25">
      <c r="A9" s="558"/>
      <c r="B9" s="559"/>
      <c r="C9" s="560"/>
      <c r="D9" s="561"/>
      <c r="E9" s="562"/>
      <c r="F9" s="562"/>
      <c r="G9" s="563"/>
    </row>
    <row r="10" spans="1:72" s="522" customFormat="1" ht="21.75" customHeight="1" x14ac:dyDescent="0.2">
      <c r="A10" s="564" t="s">
        <v>266</v>
      </c>
      <c r="B10" s="565">
        <f>SUM(([1]Realistisch!J21+[1]Realistisch!J23+[1]Realistisch!J27)/[1]Realistisch!J18)</f>
        <v>1.2497641797285448</v>
      </c>
      <c r="C10" s="566">
        <f>SUM(([1]Realistisch!O21+[1]Realistisch!O23+[1]Realistisch!O27)/[1]Realistisch!O18)</f>
        <v>4.8246779130710076</v>
      </c>
      <c r="D10" s="567">
        <f>SUM(([1]Realistisch!T21+[1]Realistisch!T23+[1]Realistisch!T27)/[1]Realistisch!T18)</f>
        <v>7.1216171329725144</v>
      </c>
      <c r="E10" s="566">
        <f>SUM([1]Realistisch!U21,[1]Realistisch!U23,[1]Realistisch!U27)</f>
        <v>20.64</v>
      </c>
      <c r="F10" s="566">
        <f>SUM([1]Realistisch!V21,[1]Realistisch!V23,[1]Realistisch!V27)</f>
        <v>24.000000000000004</v>
      </c>
      <c r="G10" s="568">
        <f>SUM([1]Realistisch!W21,[1]Realistisch!W23,[1]Realistisch!W27)</f>
        <v>27.360000000000007</v>
      </c>
      <c r="H10" s="557"/>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7"/>
      <c r="AV10" s="557"/>
      <c r="AW10" s="557"/>
      <c r="AX10" s="557"/>
      <c r="AY10" s="557"/>
      <c r="AZ10" s="557"/>
      <c r="BA10" s="557"/>
      <c r="BB10" s="557"/>
      <c r="BC10" s="557"/>
      <c r="BD10" s="557"/>
      <c r="BE10" s="557"/>
      <c r="BF10" s="557"/>
      <c r="BG10" s="557"/>
      <c r="BH10" s="557"/>
      <c r="BI10" s="557"/>
      <c r="BJ10" s="557"/>
      <c r="BK10" s="557"/>
      <c r="BL10" s="557"/>
      <c r="BM10" s="557"/>
      <c r="BN10" s="557"/>
      <c r="BO10" s="557"/>
      <c r="BP10" s="557"/>
      <c r="BQ10" s="557"/>
      <c r="BR10" s="557"/>
      <c r="BS10" s="557"/>
      <c r="BT10" s="557"/>
    </row>
    <row r="11" spans="1:72" s="522" customFormat="1" ht="21.75" customHeight="1" x14ac:dyDescent="0.2">
      <c r="A11" s="569" t="s">
        <v>267</v>
      </c>
      <c r="B11" s="565">
        <f>SUM(([1]Realistisch!J24+[1]Realistisch!J25)/[1]Realistisch!J18)</f>
        <v>0</v>
      </c>
      <c r="C11" s="570">
        <f>SUM(([1]Realistisch!O24+[1]Realistisch!O25)/[1]Realistisch!O18)</f>
        <v>1.6728299964717754</v>
      </c>
      <c r="D11" s="571">
        <f>SUM(([1]Realistisch!T24+[1]Realistisch!T25)/[1]Realistisch!T18)</f>
        <v>4.0784684843949401</v>
      </c>
      <c r="E11" s="570">
        <f>SUM([1]Realistisch!U24,[1]Realistisch!U25)</f>
        <v>13.2</v>
      </c>
      <c r="F11" s="570">
        <f>SUM([1]Realistisch!V24,[1]Realistisch!V25)</f>
        <v>16.080000000000002</v>
      </c>
      <c r="G11" s="572">
        <f>SUM([1]Realistisch!W24,[1]Realistisch!W25)</f>
        <v>18.96</v>
      </c>
      <c r="H11" s="557"/>
      <c r="I11" s="557"/>
      <c r="J11" s="557"/>
      <c r="K11" s="557"/>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57"/>
    </row>
    <row r="12" spans="1:72" s="522" customFormat="1" ht="21.75" customHeight="1" x14ac:dyDescent="0.2">
      <c r="A12" s="569" t="s">
        <v>268</v>
      </c>
      <c r="B12" s="565">
        <f>SUM(([1]Realistisch!J22+[1]Realistisch!J26+[1]Realistisch!J28)/[1]Realistisch!J18)</f>
        <v>0.8478360808208607</v>
      </c>
      <c r="C12" s="570">
        <f>SUM(([1]Realistisch!O22+[1]Realistisch!O26+[1]Realistisch!O28)/[1]Realistisch!O18)</f>
        <v>3.9193149739817192</v>
      </c>
      <c r="D12" s="571">
        <f>SUM(([1]Realistisch!T22+[1]Realistisch!T26+[1]Realistisch!T28)/[1]Realistisch!T18)</f>
        <v>5.250863378511303</v>
      </c>
      <c r="E12" s="570">
        <f>SUM([1]Realistisch!U22,[1]Realistisch!U26,[1]Realistisch!U28)</f>
        <v>14.760000000000002</v>
      </c>
      <c r="F12" s="570">
        <f>SUM([1]Realistisch!V22,[1]Realistisch!V26,[1]Realistisch!V28)</f>
        <v>16.920000000000002</v>
      </c>
      <c r="G12" s="572">
        <f>SUM([1]Realistisch!W22,[1]Realistisch!W26,[1]Realistisch!W28)</f>
        <v>19.079999999999998</v>
      </c>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c r="BN12" s="557"/>
      <c r="BO12" s="557"/>
      <c r="BP12" s="557"/>
      <c r="BQ12" s="557"/>
      <c r="BR12" s="557"/>
      <c r="BS12" s="557"/>
      <c r="BT12" s="557"/>
    </row>
    <row r="13" spans="1:72" s="522" customFormat="1" ht="21.75" customHeight="1" x14ac:dyDescent="0.2">
      <c r="A13" s="573" t="s">
        <v>269</v>
      </c>
      <c r="B13" s="574">
        <f>[1]Realistisch!J30</f>
        <v>115383.18319828212</v>
      </c>
      <c r="C13" s="575">
        <f>[1]Realistisch!O30</f>
        <v>2730428.8442664007</v>
      </c>
      <c r="D13" s="576">
        <f>[1]Realistisch!T30</f>
        <v>33170921.01013428</v>
      </c>
      <c r="E13" s="575">
        <f>[1]Realistisch!U30</f>
        <v>192153676.86954805</v>
      </c>
      <c r="F13" s="575">
        <f>[1]Realistisch!V30</f>
        <v>567211199.47110546</v>
      </c>
      <c r="G13" s="577">
        <f>[1]Realistisch!W30</f>
        <v>1285293740.5424666</v>
      </c>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c r="BA13" s="557"/>
      <c r="BB13" s="557"/>
      <c r="BC13" s="557"/>
      <c r="BD13" s="557"/>
      <c r="BE13" s="557"/>
      <c r="BF13" s="557"/>
      <c r="BG13" s="557"/>
      <c r="BH13" s="557"/>
      <c r="BI13" s="557"/>
      <c r="BJ13" s="557"/>
      <c r="BK13" s="557"/>
      <c r="BL13" s="557"/>
      <c r="BM13" s="557"/>
      <c r="BN13" s="557"/>
      <c r="BO13" s="557"/>
      <c r="BP13" s="557"/>
      <c r="BQ13" s="557"/>
      <c r="BR13" s="557"/>
      <c r="BS13" s="557"/>
      <c r="BT13" s="557"/>
    </row>
    <row r="14" spans="1:72" s="557" customFormat="1" ht="15" x14ac:dyDescent="0.2">
      <c r="A14" s="578"/>
      <c r="B14" s="579"/>
      <c r="C14" s="580"/>
      <c r="D14" s="581"/>
      <c r="E14" s="580"/>
      <c r="F14" s="580"/>
      <c r="G14" s="582"/>
    </row>
    <row r="15" spans="1:72" s="522" customFormat="1" ht="21.75" customHeight="1" x14ac:dyDescent="0.2">
      <c r="A15" s="583" t="s">
        <v>246</v>
      </c>
      <c r="B15" s="584">
        <f>SUM([1]Realistisch!J46,[1]Realistisch!J47)</f>
        <v>93398.173715467172</v>
      </c>
      <c r="C15" s="585">
        <f>SUM([1]Realistisch!O46,[1]Realistisch!O47)</f>
        <v>455239.67403255019</v>
      </c>
      <c r="D15" s="586">
        <f>SUM([1]Realistisch!T46,[1]Realistisch!T47)</f>
        <v>5189473.9592422731</v>
      </c>
      <c r="E15" s="585">
        <f>SUM([1]Realistisch!U46:U47)</f>
        <v>5169908.1042893985</v>
      </c>
      <c r="F15" s="585">
        <f>SUM([1]Realistisch!V46:V47)</f>
        <v>10000000</v>
      </c>
      <c r="G15" s="587">
        <f>SUM([1]Realistisch!W46:W47)</f>
        <v>10000000</v>
      </c>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c r="BS15" s="557"/>
      <c r="BT15" s="557"/>
    </row>
    <row r="16" spans="1:72" s="522" customFormat="1" ht="21.75" customHeight="1" x14ac:dyDescent="0.2">
      <c r="A16" s="588" t="s">
        <v>247</v>
      </c>
      <c r="B16" s="589">
        <f>SUM([1]Realistisch!J34,[1]Realistisch!J44)</f>
        <v>378935.28235852858</v>
      </c>
      <c r="C16" s="590">
        <f>SUM([1]Realistisch!O34,[1]Realistisch!O44)</f>
        <v>962797.29867968638</v>
      </c>
      <c r="D16" s="591">
        <f>SUM([1]Realistisch!T34,[1]Realistisch!T44)</f>
        <v>5450629.3561785081</v>
      </c>
      <c r="E16" s="590">
        <f>SUM([1]Realistisch!U34,[1]Realistisch!U44)</f>
        <v>48156233.269388035</v>
      </c>
      <c r="F16" s="590">
        <f>SUM([1]Realistisch!V34,[1]Realistisch!V44)</f>
        <v>73680737.245587796</v>
      </c>
      <c r="G16" s="592">
        <f>SUM([1]Realistisch!W34,[1]Realistisch!W44)</f>
        <v>125092486.86728646</v>
      </c>
      <c r="H16" s="557"/>
      <c r="I16" s="557"/>
      <c r="J16" s="557"/>
      <c r="K16" s="557"/>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c r="AT16" s="557"/>
      <c r="AU16" s="557"/>
      <c r="AV16" s="557"/>
      <c r="AW16" s="557"/>
      <c r="AX16" s="557"/>
      <c r="AY16" s="557"/>
      <c r="AZ16" s="557"/>
      <c r="BA16" s="557"/>
      <c r="BB16" s="557"/>
      <c r="BC16" s="557"/>
      <c r="BD16" s="557"/>
      <c r="BE16" s="557"/>
      <c r="BF16" s="557"/>
      <c r="BG16" s="557"/>
      <c r="BH16" s="557"/>
      <c r="BI16" s="557"/>
      <c r="BJ16" s="557"/>
      <c r="BK16" s="557"/>
      <c r="BL16" s="557"/>
      <c r="BM16" s="557"/>
      <c r="BN16" s="557"/>
      <c r="BO16" s="557"/>
      <c r="BP16" s="557"/>
      <c r="BQ16" s="557"/>
      <c r="BR16" s="557"/>
      <c r="BS16" s="557"/>
      <c r="BT16" s="557"/>
    </row>
    <row r="17" spans="1:72" s="522" customFormat="1" ht="21.75" customHeight="1" x14ac:dyDescent="0.2">
      <c r="A17" s="593" t="s">
        <v>242</v>
      </c>
      <c r="B17" s="589">
        <f>SUM([1]Realistisch!J33,[1]Realistisch!J35:J43)</f>
        <v>149981.33019392265</v>
      </c>
      <c r="C17" s="590">
        <f>SUM([1]Realistisch!O33,[1]Realistisch!O35:O43)</f>
        <v>897545.94330271415</v>
      </c>
      <c r="D17" s="591">
        <f>SUM([1]Realistisch!T33,[1]Realistisch!T35:T43)</f>
        <v>9883929.1550355554</v>
      </c>
      <c r="E17" s="590">
        <f>SUM([1]Realistisch!U33,[1]Realistisch!U35:U43)</f>
        <v>61800072.17308332</v>
      </c>
      <c r="F17" s="590">
        <f>SUM([1]Realistisch!V33,[1]Realistisch!V35:V43)</f>
        <v>173034448.12276626</v>
      </c>
      <c r="G17" s="592">
        <f>SUM([1]Realistisch!W33,[1]Realistisch!W35:W43)</f>
        <v>412978419.67559952</v>
      </c>
    </row>
    <row r="18" spans="1:72" s="522" customFormat="1" ht="21.75" customHeight="1" x14ac:dyDescent="0.2">
      <c r="A18" s="594" t="s">
        <v>245</v>
      </c>
      <c r="B18" s="595">
        <f>[1]Realistisch!J48</f>
        <v>622365.63626791839</v>
      </c>
      <c r="C18" s="596">
        <f>[1]Realistisch!O48</f>
        <v>2315616.8160149506</v>
      </c>
      <c r="D18" s="597">
        <f>[1]Realistisch!T48</f>
        <v>20524063.970456336</v>
      </c>
      <c r="E18" s="596">
        <f>[1]Realistisch!U48</f>
        <v>115126216.04676074</v>
      </c>
      <c r="F18" s="596">
        <f>[1]Realistisch!V48</f>
        <v>256715187.81835407</v>
      </c>
      <c r="G18" s="598">
        <f>[1]Realistisch!W48</f>
        <v>548070908.94288588</v>
      </c>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7"/>
      <c r="BI18" s="557"/>
      <c r="BJ18" s="557"/>
      <c r="BK18" s="557"/>
      <c r="BL18" s="557"/>
      <c r="BM18" s="557"/>
      <c r="BN18" s="557"/>
      <c r="BO18" s="557"/>
      <c r="BP18" s="557"/>
      <c r="BQ18" s="557"/>
      <c r="BR18" s="557"/>
      <c r="BS18" s="557"/>
      <c r="BT18" s="557"/>
    </row>
    <row r="19" spans="1:72" s="557" customFormat="1" ht="15.75" thickBot="1" x14ac:dyDescent="0.25">
      <c r="A19" s="599"/>
      <c r="B19" s="600"/>
      <c r="C19" s="601"/>
      <c r="D19" s="602"/>
      <c r="E19" s="601"/>
      <c r="F19" s="601"/>
      <c r="G19" s="603"/>
    </row>
    <row r="20" spans="1:72" s="522" customFormat="1" ht="21.75" customHeight="1" thickBot="1" x14ac:dyDescent="0.25">
      <c r="A20" s="604" t="s">
        <v>248</v>
      </c>
      <c r="B20" s="605">
        <f>[1]Realistisch!J50</f>
        <v>-506982.45306963625</v>
      </c>
      <c r="C20" s="606">
        <f>[1]Realistisch!O50</f>
        <v>414812.02825145004</v>
      </c>
      <c r="D20" s="606">
        <f>[1]Realistisch!T50</f>
        <v>12646857.039677946</v>
      </c>
      <c r="E20" s="606">
        <f>[1]Realistisch!U50</f>
        <v>77027460.822787315</v>
      </c>
      <c r="F20" s="606">
        <f>[1]Realistisch!V50</f>
        <v>310496011.65275139</v>
      </c>
      <c r="G20" s="607">
        <f>[1]Realistisch!W50</f>
        <v>737222831.59958076</v>
      </c>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c r="BB20" s="557"/>
      <c r="BC20" s="557"/>
      <c r="BD20" s="557"/>
      <c r="BE20" s="557"/>
      <c r="BF20" s="557"/>
      <c r="BG20" s="557"/>
      <c r="BH20" s="557"/>
      <c r="BI20" s="557"/>
      <c r="BJ20" s="557"/>
      <c r="BK20" s="557"/>
      <c r="BL20" s="557"/>
      <c r="BM20" s="557"/>
      <c r="BN20" s="557"/>
      <c r="BO20" s="557"/>
      <c r="BP20" s="557"/>
      <c r="BQ20" s="557"/>
      <c r="BR20" s="557"/>
      <c r="BS20" s="557"/>
      <c r="BT20" s="557"/>
    </row>
    <row r="21" spans="1:72" s="522" customFormat="1" ht="21" customHeight="1" x14ac:dyDescent="0.2">
      <c r="A21" s="608"/>
      <c r="B21" s="609"/>
      <c r="C21" s="609"/>
      <c r="D21" s="609"/>
      <c r="E21" s="609"/>
      <c r="F21" s="609"/>
      <c r="G21" s="609"/>
    </row>
    <row r="22" spans="1:72" s="522" customFormat="1" ht="21" customHeight="1" x14ac:dyDescent="0.2">
      <c r="A22" s="626" t="s">
        <v>259</v>
      </c>
      <c r="B22" s="651" t="s">
        <v>260</v>
      </c>
      <c r="C22" s="651"/>
      <c r="D22" s="651"/>
      <c r="E22" s="651"/>
      <c r="F22" s="651"/>
      <c r="G22" s="651"/>
    </row>
    <row r="23" spans="1:72" s="522" customFormat="1" ht="21" customHeight="1" x14ac:dyDescent="0.2">
      <c r="A23" s="610"/>
      <c r="B23" s="651" t="s">
        <v>261</v>
      </c>
      <c r="C23" s="651"/>
      <c r="D23" s="651"/>
      <c r="E23" s="651"/>
      <c r="F23" s="651"/>
      <c r="G23" s="651"/>
    </row>
    <row r="24" spans="1:72" s="522" customFormat="1" ht="21" customHeight="1" x14ac:dyDescent="0.2">
      <c r="A24" s="611"/>
      <c r="B24" s="652" t="s">
        <v>262</v>
      </c>
      <c r="C24" s="651"/>
      <c r="D24" s="651"/>
      <c r="E24" s="651"/>
      <c r="F24" s="651"/>
      <c r="G24" s="651"/>
    </row>
    <row r="25" spans="1:72" s="522" customFormat="1" ht="21" customHeight="1" x14ac:dyDescent="0.2">
      <c r="A25" s="612"/>
      <c r="B25" s="383"/>
      <c r="C25" s="383"/>
      <c r="D25" s="383"/>
      <c r="E25" s="383"/>
      <c r="F25" s="383"/>
      <c r="G25" s="383"/>
    </row>
    <row r="26" spans="1:72" s="522" customFormat="1" ht="21" customHeight="1" x14ac:dyDescent="0.2">
      <c r="A26" s="610"/>
      <c r="B26" s="383"/>
      <c r="C26" s="383"/>
      <c r="D26" s="383"/>
      <c r="E26" s="383"/>
      <c r="F26" s="383"/>
      <c r="G26" s="383"/>
    </row>
    <row r="27" spans="1:72" s="522" customFormat="1" ht="21" customHeight="1" x14ac:dyDescent="0.2">
      <c r="A27" s="608"/>
      <c r="B27" s="614" t="s">
        <v>52</v>
      </c>
      <c r="C27" s="615"/>
      <c r="D27" s="615"/>
      <c r="E27" s="615"/>
      <c r="F27" s="615"/>
      <c r="G27" s="615"/>
    </row>
    <row r="28" spans="1:72" s="522" customFormat="1" ht="21" customHeight="1" x14ac:dyDescent="0.2">
      <c r="A28" s="608"/>
      <c r="B28" s="614" t="s">
        <v>52</v>
      </c>
      <c r="C28" s="615"/>
      <c r="D28" s="615"/>
      <c r="E28" s="615"/>
      <c r="F28" s="615"/>
      <c r="G28" s="615"/>
    </row>
    <row r="29" spans="1:72" s="522" customFormat="1" ht="21" customHeight="1" x14ac:dyDescent="0.2">
      <c r="A29" s="608"/>
      <c r="B29" s="614" t="s">
        <v>52</v>
      </c>
      <c r="C29" s="616"/>
      <c r="D29" s="616"/>
      <c r="E29" s="616"/>
      <c r="F29" s="616"/>
      <c r="G29" s="616"/>
    </row>
    <row r="30" spans="1:72" s="522" customFormat="1" ht="15" x14ac:dyDescent="0.2">
      <c r="A30" s="608"/>
      <c r="B30" s="614"/>
      <c r="C30" s="616"/>
      <c r="D30" s="616"/>
      <c r="E30" s="616"/>
      <c r="F30" s="616"/>
      <c r="G30" s="616"/>
    </row>
    <row r="31" spans="1:72" s="522" customFormat="1" ht="15" x14ac:dyDescent="0.2">
      <c r="A31" s="617"/>
      <c r="B31" s="614"/>
      <c r="C31" s="615"/>
      <c r="D31" s="615"/>
      <c r="E31" s="615"/>
      <c r="F31" s="615"/>
      <c r="G31" s="615"/>
    </row>
    <row r="32" spans="1:72" s="522" customFormat="1" x14ac:dyDescent="0.2">
      <c r="A32" s="608"/>
      <c r="B32" s="614"/>
      <c r="C32" s="615"/>
      <c r="D32" s="615"/>
      <c r="E32" s="615"/>
      <c r="F32" s="615"/>
      <c r="G32" s="615"/>
    </row>
    <row r="33" spans="1:7" s="522" customFormat="1" x14ac:dyDescent="0.2">
      <c r="A33" s="608"/>
      <c r="B33" s="614"/>
      <c r="C33" s="615"/>
      <c r="D33" s="615"/>
      <c r="E33" s="615"/>
      <c r="F33" s="615"/>
      <c r="G33" s="615"/>
    </row>
    <row r="34" spans="1:7" s="522" customFormat="1" x14ac:dyDescent="0.2">
      <c r="A34" s="608"/>
      <c r="B34" s="614" t="s">
        <v>52</v>
      </c>
      <c r="C34" s="615"/>
      <c r="D34" s="615"/>
      <c r="E34" s="615"/>
      <c r="F34" s="615"/>
      <c r="G34" s="615"/>
    </row>
    <row r="35" spans="1:7" s="522" customFormat="1" ht="15" x14ac:dyDescent="0.2">
      <c r="A35" s="608"/>
      <c r="B35" s="618" t="s">
        <v>52</v>
      </c>
      <c r="C35" s="613"/>
      <c r="D35" s="613"/>
      <c r="E35" s="613"/>
      <c r="F35" s="613"/>
      <c r="G35" s="613"/>
    </row>
    <row r="36" spans="1:7" s="522" customFormat="1" ht="15" x14ac:dyDescent="0.2">
      <c r="A36" s="608"/>
      <c r="B36" s="618"/>
      <c r="C36" s="613"/>
      <c r="D36" s="613"/>
      <c r="E36" s="613"/>
      <c r="F36" s="613"/>
      <c r="G36" s="613"/>
    </row>
    <row r="37" spans="1:7" s="522" customFormat="1" x14ac:dyDescent="0.2">
      <c r="A37" s="608"/>
      <c r="B37" s="614" t="s">
        <v>52</v>
      </c>
      <c r="C37" s="615"/>
      <c r="D37" s="615"/>
      <c r="E37" s="615"/>
      <c r="F37" s="615"/>
      <c r="G37" s="615"/>
    </row>
    <row r="38" spans="1:7" s="522" customFormat="1" x14ac:dyDescent="0.2">
      <c r="A38" s="608"/>
      <c r="B38" s="614" t="s">
        <v>52</v>
      </c>
      <c r="C38" s="615"/>
      <c r="D38" s="615"/>
      <c r="E38" s="615"/>
      <c r="F38" s="615"/>
      <c r="G38" s="615"/>
    </row>
    <row r="39" spans="1:7" s="522" customFormat="1" x14ac:dyDescent="0.2">
      <c r="A39" s="608"/>
      <c r="B39" s="614" t="s">
        <v>52</v>
      </c>
      <c r="C39" s="615"/>
      <c r="D39" s="615"/>
      <c r="E39" s="615"/>
      <c r="F39" s="615"/>
      <c r="G39" s="615"/>
    </row>
    <row r="40" spans="1:7" s="522" customFormat="1" x14ac:dyDescent="0.2">
      <c r="A40" s="608"/>
      <c r="B40" s="614"/>
      <c r="C40" s="615"/>
      <c r="D40" s="615"/>
      <c r="E40" s="615"/>
      <c r="F40" s="615"/>
      <c r="G40" s="615"/>
    </row>
    <row r="41" spans="1:7" s="522" customFormat="1" ht="15" x14ac:dyDescent="0.2">
      <c r="A41" s="608"/>
      <c r="B41" s="618"/>
      <c r="C41" s="613"/>
      <c r="D41" s="613"/>
      <c r="E41" s="613"/>
      <c r="F41" s="613"/>
      <c r="G41" s="613"/>
    </row>
    <row r="42" spans="1:7" s="522" customFormat="1" ht="15" x14ac:dyDescent="0.2">
      <c r="A42" s="617"/>
      <c r="B42" s="618"/>
      <c r="C42" s="613"/>
      <c r="D42" s="613"/>
      <c r="E42" s="613"/>
      <c r="F42" s="613"/>
      <c r="G42" s="613"/>
    </row>
    <row r="43" spans="1:7" s="522" customFormat="1" x14ac:dyDescent="0.2">
      <c r="A43" s="619"/>
      <c r="B43" s="614" t="s">
        <v>52</v>
      </c>
      <c r="C43" s="615"/>
      <c r="D43" s="615"/>
      <c r="E43" s="615"/>
      <c r="F43" s="615"/>
      <c r="G43" s="615"/>
    </row>
    <row r="44" spans="1:7" s="522" customFormat="1" x14ac:dyDescent="0.2">
      <c r="A44" s="620"/>
      <c r="B44" s="614" t="s">
        <v>52</v>
      </c>
      <c r="C44" s="615"/>
      <c r="D44" s="615"/>
      <c r="E44" s="615"/>
      <c r="F44" s="615"/>
      <c r="G44" s="615"/>
    </row>
    <row r="45" spans="1:7" s="522" customFormat="1" x14ac:dyDescent="0.2">
      <c r="A45" s="608"/>
      <c r="B45" s="614" t="s">
        <v>52</v>
      </c>
      <c r="C45" s="615"/>
      <c r="D45" s="615"/>
      <c r="E45" s="615"/>
      <c r="F45" s="615"/>
      <c r="G45" s="615"/>
    </row>
    <row r="46" spans="1:7" s="522" customFormat="1" x14ac:dyDescent="0.2">
      <c r="A46" s="608"/>
      <c r="B46" s="614" t="s">
        <v>52</v>
      </c>
      <c r="C46" s="615"/>
      <c r="D46" s="615"/>
      <c r="E46" s="615"/>
      <c r="F46" s="615"/>
      <c r="G46" s="615"/>
    </row>
    <row r="47" spans="1:7" s="522" customFormat="1" x14ac:dyDescent="0.2">
      <c r="A47" s="608"/>
      <c r="B47" s="614"/>
      <c r="C47" s="615"/>
      <c r="D47" s="615"/>
      <c r="E47" s="615"/>
      <c r="F47" s="615"/>
      <c r="G47" s="615"/>
    </row>
    <row r="48" spans="1:7" s="522" customFormat="1" ht="15" x14ac:dyDescent="0.2">
      <c r="A48" s="621"/>
      <c r="B48" s="614" t="s">
        <v>52</v>
      </c>
      <c r="C48" s="622"/>
      <c r="D48" s="622"/>
      <c r="E48" s="622"/>
      <c r="F48" s="622"/>
      <c r="G48" s="622"/>
    </row>
    <row r="49" spans="1:7" s="522" customFormat="1" ht="15" x14ac:dyDescent="0.2">
      <c r="A49" s="619"/>
      <c r="B49" s="614" t="s">
        <v>52</v>
      </c>
      <c r="C49" s="616"/>
      <c r="D49" s="616"/>
      <c r="E49" s="616"/>
      <c r="F49" s="616"/>
      <c r="G49" s="616"/>
    </row>
    <row r="50" spans="1:7" s="522" customFormat="1" x14ac:dyDescent="0.2">
      <c r="A50" s="623"/>
      <c r="B50" s="618" t="s">
        <v>52</v>
      </c>
      <c r="C50" s="615"/>
      <c r="D50" s="615"/>
      <c r="E50" s="615"/>
      <c r="F50" s="615"/>
      <c r="G50" s="615"/>
    </row>
    <row r="51" spans="1:7" s="522" customFormat="1" x14ac:dyDescent="0.2">
      <c r="A51" s="623"/>
      <c r="B51" s="614" t="s">
        <v>52</v>
      </c>
      <c r="C51" s="615"/>
      <c r="D51" s="615"/>
      <c r="E51" s="615"/>
      <c r="F51" s="615"/>
      <c r="G51" s="615"/>
    </row>
    <row r="52" spans="1:7" s="522" customFormat="1" ht="15" x14ac:dyDescent="0.2">
      <c r="A52" s="623"/>
      <c r="B52" s="614" t="s">
        <v>52</v>
      </c>
      <c r="C52" s="616"/>
      <c r="D52" s="616"/>
      <c r="E52" s="616"/>
      <c r="F52" s="616"/>
      <c r="G52" s="616"/>
    </row>
    <row r="53" spans="1:7" s="522" customFormat="1" x14ac:dyDescent="0.2">
      <c r="A53" s="623"/>
      <c r="B53" s="614" t="s">
        <v>52</v>
      </c>
      <c r="C53" s="615"/>
      <c r="D53" s="615"/>
      <c r="E53" s="615"/>
      <c r="F53" s="615"/>
      <c r="G53" s="615"/>
    </row>
    <row r="54" spans="1:7" s="522" customFormat="1" x14ac:dyDescent="0.2">
      <c r="A54" s="623"/>
      <c r="B54" s="614" t="s">
        <v>52</v>
      </c>
      <c r="C54" s="623"/>
      <c r="D54" s="623"/>
      <c r="E54" s="623"/>
      <c r="F54" s="623"/>
      <c r="G54" s="623"/>
    </row>
    <row r="55" spans="1:7" s="522" customFormat="1" x14ac:dyDescent="0.2">
      <c r="A55" s="623"/>
      <c r="B55" s="614" t="s">
        <v>52</v>
      </c>
      <c r="C55" s="623"/>
      <c r="D55" s="623"/>
      <c r="E55" s="623"/>
      <c r="F55" s="623"/>
      <c r="G55" s="623"/>
    </row>
    <row r="56" spans="1:7" s="522" customFormat="1" x14ac:dyDescent="0.2">
      <c r="A56" s="623"/>
      <c r="B56" s="618" t="s">
        <v>52</v>
      </c>
      <c r="C56" s="623"/>
      <c r="D56" s="623"/>
      <c r="E56" s="623"/>
      <c r="F56" s="623"/>
      <c r="G56" s="623"/>
    </row>
    <row r="57" spans="1:7" s="522" customFormat="1" x14ac:dyDescent="0.2">
      <c r="A57" s="623"/>
      <c r="B57" s="614" t="s">
        <v>52</v>
      </c>
      <c r="C57" s="623"/>
      <c r="D57" s="623"/>
      <c r="E57" s="623"/>
      <c r="F57" s="623"/>
      <c r="G57" s="623"/>
    </row>
    <row r="58" spans="1:7" s="522" customFormat="1" x14ac:dyDescent="0.2">
      <c r="A58" s="623"/>
      <c r="B58" s="614" t="s">
        <v>52</v>
      </c>
      <c r="C58" s="623"/>
      <c r="D58" s="623"/>
      <c r="E58" s="623"/>
      <c r="F58" s="623"/>
      <c r="G58" s="623"/>
    </row>
    <row r="59" spans="1:7" s="522" customFormat="1" x14ac:dyDescent="0.2">
      <c r="A59" s="623"/>
      <c r="B59" s="614" t="s">
        <v>52</v>
      </c>
      <c r="C59" s="623"/>
      <c r="D59" s="623"/>
      <c r="E59" s="623"/>
      <c r="F59" s="623"/>
      <c r="G59" s="623"/>
    </row>
    <row r="60" spans="1:7" s="522" customFormat="1" ht="15" x14ac:dyDescent="0.2">
      <c r="A60" s="621"/>
      <c r="B60" s="614" t="s">
        <v>52</v>
      </c>
      <c r="C60" s="623"/>
      <c r="D60" s="623"/>
      <c r="E60" s="623"/>
      <c r="F60" s="623"/>
      <c r="G60" s="623"/>
    </row>
    <row r="61" spans="1:7" s="522" customFormat="1" x14ac:dyDescent="0.2">
      <c r="A61" s="623"/>
      <c r="B61" s="614" t="s">
        <v>52</v>
      </c>
      <c r="C61" s="623"/>
      <c r="D61" s="623"/>
      <c r="E61" s="623"/>
      <c r="F61" s="623"/>
      <c r="G61" s="623"/>
    </row>
    <row r="62" spans="1:7" s="522" customFormat="1" x14ac:dyDescent="0.2">
      <c r="A62" s="623"/>
      <c r="B62" s="614" t="s">
        <v>52</v>
      </c>
      <c r="C62" s="623"/>
      <c r="D62" s="623"/>
      <c r="E62" s="623"/>
      <c r="F62" s="623"/>
      <c r="G62" s="623"/>
    </row>
    <row r="63" spans="1:7" s="522" customFormat="1" x14ac:dyDescent="0.2">
      <c r="A63" s="623"/>
      <c r="B63" s="614" t="s">
        <v>52</v>
      </c>
      <c r="C63" s="623"/>
      <c r="D63" s="623"/>
      <c r="E63" s="623"/>
      <c r="F63" s="623"/>
      <c r="G63" s="623"/>
    </row>
    <row r="64" spans="1:7" s="522" customFormat="1" x14ac:dyDescent="0.2">
      <c r="A64" s="623"/>
      <c r="B64" s="614" t="s">
        <v>52</v>
      </c>
      <c r="C64" s="623"/>
      <c r="D64" s="623"/>
      <c r="E64" s="623"/>
      <c r="F64" s="623"/>
      <c r="G64" s="623"/>
    </row>
    <row r="65" spans="2:7" s="522" customFormat="1" x14ac:dyDescent="0.2">
      <c r="B65" s="614" t="s">
        <v>52</v>
      </c>
      <c r="C65" s="623"/>
      <c r="D65" s="623"/>
      <c r="E65" s="623"/>
      <c r="F65" s="623"/>
      <c r="G65" s="623"/>
    </row>
    <row r="66" spans="2:7" s="522" customFormat="1" ht="15" x14ac:dyDescent="0.2">
      <c r="B66" s="614" t="s">
        <v>52</v>
      </c>
      <c r="C66" s="621"/>
      <c r="D66" s="621"/>
      <c r="E66" s="621"/>
      <c r="F66" s="621"/>
      <c r="G66" s="621"/>
    </row>
    <row r="67" spans="2:7" s="522" customFormat="1" x14ac:dyDescent="0.2">
      <c r="B67" s="614" t="s">
        <v>52</v>
      </c>
      <c r="C67" s="623"/>
      <c r="D67" s="623"/>
      <c r="E67" s="623"/>
      <c r="F67" s="623"/>
      <c r="G67" s="623"/>
    </row>
    <row r="68" spans="2:7" s="522" customFormat="1" x14ac:dyDescent="0.2">
      <c r="B68" s="614"/>
      <c r="C68" s="623"/>
      <c r="D68" s="623"/>
      <c r="E68" s="623"/>
      <c r="F68" s="623"/>
      <c r="G68" s="623"/>
    </row>
    <row r="69" spans="2:7" s="522" customFormat="1" x14ac:dyDescent="0.2">
      <c r="B69" s="614"/>
      <c r="C69" s="623"/>
      <c r="D69" s="623"/>
      <c r="E69" s="623"/>
      <c r="F69" s="623"/>
      <c r="G69" s="623"/>
    </row>
    <row r="76" spans="2:7" s="522" customFormat="1" ht="15" x14ac:dyDescent="0.25">
      <c r="B76" s="134"/>
      <c r="C76" s="624"/>
    </row>
    <row r="84" spans="8:72" s="623" customFormat="1" x14ac:dyDescent="0.2">
      <c r="H84" s="522"/>
      <c r="I84" s="522"/>
      <c r="J84" s="522"/>
      <c r="K84" s="522"/>
      <c r="L84" s="522"/>
      <c r="M84" s="522"/>
      <c r="N84" s="522"/>
      <c r="O84" s="522"/>
      <c r="P84" s="522"/>
      <c r="Q84" s="522"/>
      <c r="R84" s="522"/>
      <c r="S84" s="522"/>
      <c r="T84" s="522"/>
      <c r="U84" s="522"/>
      <c r="V84" s="522"/>
      <c r="W84" s="522"/>
      <c r="X84" s="522"/>
      <c r="Y84" s="522"/>
      <c r="Z84" s="522"/>
      <c r="AA84" s="522"/>
      <c r="AB84" s="522"/>
      <c r="AC84" s="522"/>
      <c r="AD84" s="522"/>
      <c r="AE84" s="522"/>
      <c r="AF84" s="522"/>
      <c r="AG84" s="522"/>
      <c r="AH84" s="522"/>
      <c r="AI84" s="522"/>
      <c r="AJ84" s="522"/>
      <c r="AK84" s="522"/>
      <c r="AL84" s="522"/>
      <c r="AM84" s="522"/>
      <c r="AN84" s="522"/>
      <c r="AO84" s="522"/>
      <c r="AP84" s="522"/>
      <c r="AQ84" s="522"/>
      <c r="AR84" s="522"/>
      <c r="AS84" s="522"/>
      <c r="AT84" s="522"/>
      <c r="AU84" s="522"/>
      <c r="AV84" s="522"/>
      <c r="AW84" s="522"/>
      <c r="AX84" s="522"/>
      <c r="AY84" s="522"/>
      <c r="AZ84" s="522"/>
      <c r="BA84" s="522"/>
      <c r="BB84" s="522"/>
      <c r="BC84" s="522"/>
      <c r="BD84" s="522"/>
      <c r="BE84" s="522"/>
      <c r="BF84" s="522"/>
      <c r="BG84" s="522"/>
      <c r="BH84" s="522"/>
      <c r="BI84" s="522"/>
      <c r="BJ84" s="522"/>
      <c r="BK84" s="522"/>
      <c r="BL84" s="522"/>
      <c r="BM84" s="522"/>
      <c r="BN84" s="522"/>
      <c r="BO84" s="522"/>
      <c r="BP84" s="522"/>
      <c r="BQ84" s="522"/>
      <c r="BR84" s="522"/>
      <c r="BS84" s="522"/>
      <c r="BT84" s="522"/>
    </row>
    <row r="150" spans="8:72" s="623" customFormat="1" x14ac:dyDescent="0.2">
      <c r="H150" s="522"/>
      <c r="I150" s="522"/>
      <c r="J150" s="522"/>
      <c r="K150" s="522"/>
      <c r="L150" s="522"/>
      <c r="M150" s="522"/>
      <c r="N150" s="522"/>
      <c r="O150" s="522"/>
      <c r="P150" s="522"/>
      <c r="Q150" s="522"/>
      <c r="R150" s="522"/>
      <c r="S150" s="522"/>
      <c r="T150" s="522"/>
      <c r="U150" s="522"/>
      <c r="V150" s="522"/>
      <c r="W150" s="522"/>
      <c r="X150" s="522"/>
      <c r="Y150" s="522"/>
      <c r="Z150" s="522"/>
      <c r="AA150" s="522"/>
      <c r="AB150" s="522"/>
      <c r="AC150" s="522"/>
      <c r="AD150" s="522"/>
      <c r="AE150" s="522"/>
      <c r="AF150" s="522"/>
      <c r="AG150" s="522"/>
      <c r="AH150" s="522"/>
      <c r="AI150" s="522"/>
      <c r="AJ150" s="522"/>
      <c r="AK150" s="522"/>
      <c r="AL150" s="522"/>
      <c r="AM150" s="522"/>
      <c r="AN150" s="522"/>
      <c r="AO150" s="522"/>
      <c r="AP150" s="522"/>
      <c r="AQ150" s="522"/>
      <c r="AR150" s="522"/>
      <c r="AS150" s="522"/>
      <c r="AT150" s="522"/>
      <c r="AU150" s="522"/>
      <c r="AV150" s="522"/>
      <c r="AW150" s="522"/>
      <c r="AX150" s="522"/>
      <c r="AY150" s="522"/>
      <c r="AZ150" s="522"/>
      <c r="BA150" s="522"/>
      <c r="BB150" s="522"/>
      <c r="BC150" s="522"/>
      <c r="BD150" s="522"/>
      <c r="BE150" s="522"/>
      <c r="BF150" s="522"/>
      <c r="BG150" s="522"/>
      <c r="BH150" s="522"/>
      <c r="BI150" s="522"/>
      <c r="BJ150" s="522"/>
      <c r="BK150" s="522"/>
      <c r="BL150" s="522"/>
      <c r="BM150" s="522"/>
      <c r="BN150" s="522"/>
      <c r="BO150" s="522"/>
      <c r="BP150" s="522"/>
      <c r="BQ150" s="522"/>
      <c r="BR150" s="522"/>
      <c r="BS150" s="522"/>
      <c r="BT150" s="522"/>
    </row>
  </sheetData>
  <mergeCells count="10">
    <mergeCell ref="G1:G2"/>
    <mergeCell ref="B22:G22"/>
    <mergeCell ref="B24:G24"/>
    <mergeCell ref="A1:A2"/>
    <mergeCell ref="B1:B2"/>
    <mergeCell ref="C1:C2"/>
    <mergeCell ref="D1:D2"/>
    <mergeCell ref="E1:E2"/>
    <mergeCell ref="F1:F2"/>
    <mergeCell ref="B23:G23"/>
  </mergeCells>
  <conditionalFormatting sqref="D20:G20">
    <cfRule type="cellIs" dxfId="39" priority="3" operator="lessThan">
      <formula>0</formula>
    </cfRule>
    <cfRule type="cellIs" dxfId="38" priority="4" operator="greaterThan">
      <formula>0</formula>
    </cfRule>
  </conditionalFormatting>
  <conditionalFormatting sqref="B20:G20">
    <cfRule type="cellIs" dxfId="37" priority="1" operator="lessThan">
      <formula>0</formula>
    </cfRule>
    <cfRule type="cellIs" dxfId="36" priority="2" operator="greaterThan">
      <formula>0</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A55" sqref="A55"/>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34" t="s">
        <v>171</v>
      </c>
      <c r="B1" s="636" t="s">
        <v>172</v>
      </c>
      <c r="C1" s="637"/>
      <c r="D1" s="638" t="s">
        <v>150</v>
      </c>
      <c r="E1" s="639"/>
      <c r="F1" s="627" t="s">
        <v>212</v>
      </c>
      <c r="G1" s="628"/>
      <c r="H1" s="628"/>
      <c r="I1" s="629"/>
      <c r="J1" s="44">
        <v>2019</v>
      </c>
      <c r="K1" s="627" t="s">
        <v>213</v>
      </c>
      <c r="L1" s="628"/>
      <c r="M1" s="628"/>
      <c r="N1" s="629"/>
      <c r="O1" s="44">
        <v>2020</v>
      </c>
      <c r="P1" s="627" t="s">
        <v>253</v>
      </c>
      <c r="Q1" s="628"/>
      <c r="R1" s="628"/>
      <c r="S1" s="629"/>
      <c r="T1" s="94">
        <v>2021</v>
      </c>
      <c r="U1" s="164">
        <v>2022</v>
      </c>
      <c r="V1" s="44">
        <v>2023</v>
      </c>
      <c r="W1" s="165">
        <v>2024</v>
      </c>
      <c r="X1" s="170"/>
      <c r="Y1" s="511" t="s">
        <v>270</v>
      </c>
      <c r="Z1" s="38">
        <v>2019</v>
      </c>
      <c r="AA1" s="38">
        <v>2019</v>
      </c>
      <c r="AB1" s="38">
        <v>2019</v>
      </c>
      <c r="AC1" s="44" t="s">
        <v>11</v>
      </c>
      <c r="AD1" s="44" t="s">
        <v>11</v>
      </c>
      <c r="AE1" s="38">
        <v>2019</v>
      </c>
      <c r="AF1" s="38">
        <v>2019</v>
      </c>
      <c r="AG1" s="38">
        <v>2019</v>
      </c>
      <c r="AH1" s="44" t="s">
        <v>12</v>
      </c>
      <c r="AI1" s="44" t="s">
        <v>12</v>
      </c>
      <c r="AJ1" s="38">
        <v>2019</v>
      </c>
      <c r="AK1" s="38">
        <v>2019</v>
      </c>
      <c r="AL1" s="38">
        <v>2019</v>
      </c>
      <c r="AM1" s="44" t="s">
        <v>13</v>
      </c>
      <c r="AN1" s="44" t="s">
        <v>13</v>
      </c>
      <c r="AO1" s="38">
        <v>2019</v>
      </c>
      <c r="AP1" s="38">
        <v>2019</v>
      </c>
      <c r="AQ1" s="38">
        <v>2019</v>
      </c>
      <c r="AR1" s="44" t="s">
        <v>10</v>
      </c>
      <c r="AS1" s="44" t="s">
        <v>10</v>
      </c>
      <c r="AT1" s="38">
        <v>2020</v>
      </c>
      <c r="AU1" s="37">
        <v>2020</v>
      </c>
      <c r="AV1" s="37">
        <v>2020</v>
      </c>
      <c r="AW1" s="44" t="s">
        <v>9</v>
      </c>
      <c r="AX1" s="44" t="s">
        <v>9</v>
      </c>
      <c r="AY1" s="37">
        <v>2020</v>
      </c>
      <c r="AZ1" s="37">
        <v>2020</v>
      </c>
      <c r="BA1" s="37">
        <v>2020</v>
      </c>
      <c r="BB1" s="44" t="s">
        <v>8</v>
      </c>
      <c r="BC1" s="44" t="s">
        <v>8</v>
      </c>
      <c r="BD1" s="37">
        <v>2020</v>
      </c>
      <c r="BE1" s="37">
        <v>2020</v>
      </c>
      <c r="BF1" s="37">
        <v>2020</v>
      </c>
      <c r="BG1" s="44" t="s">
        <v>15</v>
      </c>
      <c r="BH1" s="44" t="s">
        <v>15</v>
      </c>
      <c r="BI1" s="39">
        <v>2020</v>
      </c>
      <c r="BJ1" s="39">
        <v>2020</v>
      </c>
      <c r="BK1" s="39">
        <v>2020</v>
      </c>
      <c r="BL1" s="44" t="s">
        <v>16</v>
      </c>
      <c r="BM1" s="44" t="s">
        <v>16</v>
      </c>
      <c r="BN1" s="39">
        <v>2021</v>
      </c>
      <c r="BO1" s="39">
        <v>2021</v>
      </c>
      <c r="BP1" s="39">
        <v>2021</v>
      </c>
      <c r="BQ1" s="44" t="s">
        <v>256</v>
      </c>
      <c r="BR1" s="44" t="s">
        <v>256</v>
      </c>
      <c r="BS1" s="39">
        <v>2021</v>
      </c>
      <c r="BT1" s="39">
        <v>2021</v>
      </c>
      <c r="BU1" s="39">
        <v>2021</v>
      </c>
      <c r="BV1" s="44" t="s">
        <v>257</v>
      </c>
      <c r="BW1" s="44" t="s">
        <v>257</v>
      </c>
      <c r="BX1" s="39">
        <v>2021</v>
      </c>
      <c r="BY1" s="39">
        <v>2021</v>
      </c>
      <c r="BZ1" s="39">
        <v>2021</v>
      </c>
      <c r="CA1" s="44" t="s">
        <v>258</v>
      </c>
      <c r="CB1" s="44" t="s">
        <v>258</v>
      </c>
      <c r="CC1" s="39">
        <v>2021</v>
      </c>
      <c r="CD1" s="39">
        <v>2021</v>
      </c>
      <c r="CE1" s="39">
        <v>2021</v>
      </c>
      <c r="CF1" s="44" t="s">
        <v>255</v>
      </c>
      <c r="CG1" s="44" t="s">
        <v>255</v>
      </c>
    </row>
    <row r="2" spans="1:175" s="2" customFormat="1" ht="10.5" customHeight="1" thickBot="1" x14ac:dyDescent="0.25">
      <c r="A2" s="635"/>
      <c r="B2" s="663" t="s">
        <v>151</v>
      </c>
      <c r="C2" s="664"/>
      <c r="D2" s="632" t="s">
        <v>173</v>
      </c>
      <c r="E2" s="633"/>
      <c r="F2" s="93" t="s">
        <v>53</v>
      </c>
      <c r="G2" s="90" t="s">
        <v>54</v>
      </c>
      <c r="H2" s="90" t="s">
        <v>6</v>
      </c>
      <c r="I2" s="91" t="s">
        <v>7</v>
      </c>
      <c r="J2" s="92" t="s">
        <v>214</v>
      </c>
      <c r="K2" s="93" t="s">
        <v>4</v>
      </c>
      <c r="L2" s="90" t="s">
        <v>5</v>
      </c>
      <c r="M2" s="90" t="s">
        <v>6</v>
      </c>
      <c r="N2" s="91" t="s">
        <v>7</v>
      </c>
      <c r="O2" s="92" t="s">
        <v>214</v>
      </c>
      <c r="P2" s="93" t="s">
        <v>4</v>
      </c>
      <c r="Q2" s="90" t="s">
        <v>5</v>
      </c>
      <c r="R2" s="90" t="s">
        <v>6</v>
      </c>
      <c r="S2" s="91" t="s">
        <v>7</v>
      </c>
      <c r="T2" s="156" t="s">
        <v>214</v>
      </c>
      <c r="U2" s="640" t="s">
        <v>254</v>
      </c>
      <c r="V2" s="641"/>
      <c r="W2" s="642"/>
      <c r="X2" s="171"/>
      <c r="Y2" s="513" t="s">
        <v>215</v>
      </c>
      <c r="Z2" s="47" t="s">
        <v>216</v>
      </c>
      <c r="AA2" s="48" t="s">
        <v>224</v>
      </c>
      <c r="AB2" s="48" t="s">
        <v>217</v>
      </c>
      <c r="AC2" s="49" t="s">
        <v>223</v>
      </c>
      <c r="AD2" s="49" t="s">
        <v>14</v>
      </c>
      <c r="AE2" s="48" t="s">
        <v>0</v>
      </c>
      <c r="AF2" s="48" t="s">
        <v>218</v>
      </c>
      <c r="AG2" s="48" t="s">
        <v>219</v>
      </c>
      <c r="AH2" s="49" t="s">
        <v>223</v>
      </c>
      <c r="AI2" s="49" t="s">
        <v>14</v>
      </c>
      <c r="AJ2" s="48" t="s">
        <v>220</v>
      </c>
      <c r="AK2" s="48" t="s">
        <v>1</v>
      </c>
      <c r="AL2" s="48" t="s">
        <v>2</v>
      </c>
      <c r="AM2" s="49" t="s">
        <v>223</v>
      </c>
      <c r="AN2" s="49" t="s">
        <v>14</v>
      </c>
      <c r="AO2" s="48" t="s">
        <v>221</v>
      </c>
      <c r="AP2" s="48" t="s">
        <v>3</v>
      </c>
      <c r="AQ2" s="48" t="s">
        <v>222</v>
      </c>
      <c r="AR2" s="49" t="s">
        <v>223</v>
      </c>
      <c r="AS2" s="49" t="s">
        <v>14</v>
      </c>
      <c r="AT2" s="47" t="s">
        <v>216</v>
      </c>
      <c r="AU2" s="48" t="s">
        <v>224</v>
      </c>
      <c r="AV2" s="48" t="s">
        <v>217</v>
      </c>
      <c r="AW2" s="49" t="s">
        <v>223</v>
      </c>
      <c r="AX2" s="49" t="s">
        <v>14</v>
      </c>
      <c r="AY2" s="48" t="s">
        <v>0</v>
      </c>
      <c r="AZ2" s="48" t="s">
        <v>218</v>
      </c>
      <c r="BA2" s="48" t="s">
        <v>219</v>
      </c>
      <c r="BB2" s="49" t="s">
        <v>223</v>
      </c>
      <c r="BC2" s="49" t="s">
        <v>14</v>
      </c>
      <c r="BD2" s="48" t="s">
        <v>220</v>
      </c>
      <c r="BE2" s="48" t="s">
        <v>1</v>
      </c>
      <c r="BF2" s="48" t="s">
        <v>2</v>
      </c>
      <c r="BG2" s="49" t="s">
        <v>223</v>
      </c>
      <c r="BH2" s="49" t="s">
        <v>14</v>
      </c>
      <c r="BI2" s="48" t="s">
        <v>221</v>
      </c>
      <c r="BJ2" s="48" t="s">
        <v>3</v>
      </c>
      <c r="BK2" s="48" t="s">
        <v>222</v>
      </c>
      <c r="BL2" s="49" t="s">
        <v>223</v>
      </c>
      <c r="BM2" s="49" t="s">
        <v>14</v>
      </c>
      <c r="BN2" s="47" t="s">
        <v>216</v>
      </c>
      <c r="BO2" s="48" t="s">
        <v>224</v>
      </c>
      <c r="BP2" s="48" t="s">
        <v>217</v>
      </c>
      <c r="BQ2" s="49" t="s">
        <v>223</v>
      </c>
      <c r="BR2" s="49" t="s">
        <v>14</v>
      </c>
      <c r="BS2" s="48" t="s">
        <v>0</v>
      </c>
      <c r="BT2" s="48" t="s">
        <v>218</v>
      </c>
      <c r="BU2" s="48" t="s">
        <v>219</v>
      </c>
      <c r="BV2" s="49" t="s">
        <v>223</v>
      </c>
      <c r="BW2" s="49" t="s">
        <v>14</v>
      </c>
      <c r="BX2" s="48" t="s">
        <v>220</v>
      </c>
      <c r="BY2" s="48" t="s">
        <v>1</v>
      </c>
      <c r="BZ2" s="48" t="s">
        <v>2</v>
      </c>
      <c r="CA2" s="49" t="s">
        <v>223</v>
      </c>
      <c r="CB2" s="49" t="s">
        <v>14</v>
      </c>
      <c r="CC2" s="48" t="s">
        <v>221</v>
      </c>
      <c r="CD2" s="48" t="s">
        <v>3</v>
      </c>
      <c r="CE2" s="48" t="s">
        <v>222</v>
      </c>
      <c r="CF2" s="49" t="s">
        <v>223</v>
      </c>
      <c r="CG2" s="49" t="s">
        <v>14</v>
      </c>
    </row>
    <row r="3" spans="1:175" s="34" customFormat="1" ht="10.5" customHeight="1" x14ac:dyDescent="0.15">
      <c r="A3" s="50" t="s">
        <v>174</v>
      </c>
      <c r="B3" s="287"/>
      <c r="C3" s="288"/>
      <c r="D3" s="287"/>
      <c r="E3" s="289"/>
      <c r="F3" s="227"/>
      <c r="G3" s="206"/>
      <c r="H3" s="206"/>
      <c r="I3" s="206"/>
      <c r="J3" s="248"/>
      <c r="K3" s="206"/>
      <c r="L3" s="206"/>
      <c r="M3" s="206"/>
      <c r="N3" s="206"/>
      <c r="O3" s="316"/>
      <c r="P3" s="206"/>
      <c r="Q3" s="206"/>
      <c r="R3" s="206"/>
      <c r="S3" s="206"/>
      <c r="T3" s="246"/>
      <c r="U3" s="247"/>
      <c r="V3" s="248"/>
      <c r="W3" s="249"/>
      <c r="X3" s="209"/>
      <c r="Y3" s="496"/>
      <c r="Z3" s="206"/>
      <c r="AA3" s="206"/>
      <c r="AB3" s="206"/>
      <c r="AC3" s="248"/>
      <c r="AD3" s="207"/>
      <c r="AE3" s="206"/>
      <c r="AF3" s="206"/>
      <c r="AG3" s="206"/>
      <c r="AH3" s="248"/>
      <c r="AI3" s="207"/>
      <c r="AJ3" s="206"/>
      <c r="AK3" s="206"/>
      <c r="AL3" s="206"/>
      <c r="AM3" s="248"/>
      <c r="AN3" s="207"/>
      <c r="AO3" s="206"/>
      <c r="AP3" s="206"/>
      <c r="AQ3" s="206"/>
      <c r="AR3" s="248"/>
      <c r="AS3" s="207"/>
      <c r="AT3" s="206"/>
      <c r="AU3" s="206"/>
      <c r="AV3" s="206"/>
      <c r="AW3" s="248"/>
      <c r="AX3" s="207"/>
      <c r="AY3" s="206"/>
      <c r="AZ3" s="206"/>
      <c r="BA3" s="206"/>
      <c r="BB3" s="248"/>
      <c r="BC3" s="207"/>
      <c r="BD3" s="206"/>
      <c r="BE3" s="206"/>
      <c r="BF3" s="206"/>
      <c r="BG3" s="248"/>
      <c r="BH3" s="207"/>
      <c r="BI3" s="206"/>
      <c r="BJ3" s="206"/>
      <c r="BK3" s="206"/>
      <c r="BL3" s="248"/>
      <c r="BM3" s="207"/>
      <c r="BN3" s="206"/>
      <c r="BO3" s="206"/>
      <c r="BP3" s="206"/>
      <c r="BQ3" s="248"/>
      <c r="BR3" s="207"/>
      <c r="BS3" s="206"/>
      <c r="BT3" s="206"/>
      <c r="BU3" s="206"/>
      <c r="BV3" s="248"/>
      <c r="BW3" s="207"/>
      <c r="BX3" s="206"/>
      <c r="BY3" s="206"/>
      <c r="BZ3" s="206"/>
      <c r="CA3" s="248"/>
      <c r="CB3" s="207"/>
      <c r="CC3" s="206"/>
      <c r="CD3" s="206"/>
      <c r="CE3" s="206"/>
      <c r="CF3" s="248"/>
      <c r="CG3" s="208"/>
    </row>
    <row r="4" spans="1:175" s="9" customFormat="1" ht="9.75" customHeight="1" x14ac:dyDescent="0.15">
      <c r="A4" s="51" t="s">
        <v>175</v>
      </c>
      <c r="B4" s="290">
        <f>B45</f>
        <v>0.3</v>
      </c>
      <c r="C4" s="306">
        <f>B44</f>
        <v>3</v>
      </c>
      <c r="D4" s="643" t="s">
        <v>210</v>
      </c>
      <c r="E4" s="644"/>
      <c r="F4" s="228">
        <f>SUM(1000/G44)</f>
        <v>200</v>
      </c>
      <c r="G4" s="98">
        <f>SUM((F45+F46)/G44)</f>
        <v>200</v>
      </c>
      <c r="H4" s="491">
        <f>SUM((G45+G46)/H44)</f>
        <v>3888.8888888888887</v>
      </c>
      <c r="I4" s="491">
        <f>SUM((H45+H46)/I44)</f>
        <v>3389.8305084745762</v>
      </c>
      <c r="J4" s="251">
        <f>SUM(F4+G4+H4+I4)*3</f>
        <v>23036.158192090395</v>
      </c>
      <c r="K4" s="492">
        <f>SUM((I45+I46)/K44)</f>
        <v>2919.3303121226627</v>
      </c>
      <c r="L4" s="492">
        <f>SUM((K45+K46)/L44)</f>
        <v>5171.5533618733871</v>
      </c>
      <c r="M4" s="35">
        <f>SUM((L45+L46)/M44)</f>
        <v>7219.9132802031345</v>
      </c>
      <c r="N4" s="35">
        <f>SUM((M45+M46)/N44)</f>
        <v>15046.586456498117</v>
      </c>
      <c r="O4" s="251">
        <f>SUM(K4+L4+M4+N4)*3</f>
        <v>91072.150232091895</v>
      </c>
      <c r="P4" s="35">
        <f>SUM((N45+N46)/P44)</f>
        <v>27931.02258873047</v>
      </c>
      <c r="Q4" s="35">
        <f>SUM((P45+P46)/Q44)</f>
        <v>51334.057923444932</v>
      </c>
      <c r="R4" s="35">
        <f>SUM((Q45+Q46)/R44)</f>
        <v>95737.360180748394</v>
      </c>
      <c r="S4" s="35">
        <f>SUM((R45+R46)/S44)</f>
        <v>181639.77264146638</v>
      </c>
      <c r="T4" s="315">
        <f>SUM(P4+Q4+R4+S4)*3</f>
        <v>1069926.6400031706</v>
      </c>
      <c r="U4" s="250">
        <f>SUM(U45/U44)</f>
        <v>2067963.2417157579</v>
      </c>
      <c r="V4" s="251">
        <f>SUM(V45/V44)</f>
        <v>4081632.6530612214</v>
      </c>
      <c r="W4" s="252">
        <f>SUM(W45/W44)</f>
        <v>4166666.6666666628</v>
      </c>
      <c r="X4" s="173"/>
      <c r="Y4" s="490">
        <v>0</v>
      </c>
      <c r="Z4" s="35">
        <f>F4</f>
        <v>200</v>
      </c>
      <c r="AA4" s="35">
        <f>F4</f>
        <v>200</v>
      </c>
      <c r="AB4" s="35">
        <f>F4</f>
        <v>200</v>
      </c>
      <c r="AC4" s="251">
        <f>SUM(Z4:AB4)</f>
        <v>600</v>
      </c>
      <c r="AD4" s="43"/>
      <c r="AE4" s="35">
        <f>G4</f>
        <v>200</v>
      </c>
      <c r="AF4" s="35">
        <f>G4</f>
        <v>200</v>
      </c>
      <c r="AG4" s="35">
        <f>G4</f>
        <v>200</v>
      </c>
      <c r="AH4" s="251">
        <f>SUM(AE4:AG4)</f>
        <v>600</v>
      </c>
      <c r="AI4" s="43"/>
      <c r="AJ4" s="35">
        <f>H4</f>
        <v>3888.8888888888887</v>
      </c>
      <c r="AK4" s="35">
        <f>H4</f>
        <v>3888.8888888888887</v>
      </c>
      <c r="AL4" s="35">
        <f>H4</f>
        <v>3888.8888888888887</v>
      </c>
      <c r="AM4" s="251">
        <f>SUM(AJ4:AL4)</f>
        <v>11666.666666666666</v>
      </c>
      <c r="AN4" s="43"/>
      <c r="AO4" s="35">
        <f>I4</f>
        <v>3389.8305084745762</v>
      </c>
      <c r="AP4" s="35">
        <f>I4</f>
        <v>3389.8305084745762</v>
      </c>
      <c r="AQ4" s="35">
        <f>I4</f>
        <v>3389.8305084745762</v>
      </c>
      <c r="AR4" s="251">
        <f>SUM(AO4:AQ4)</f>
        <v>10169.491525423728</v>
      </c>
      <c r="AS4" s="43"/>
      <c r="AT4" s="35">
        <f>K4</f>
        <v>2919.3303121226627</v>
      </c>
      <c r="AU4" s="35">
        <f>K4</f>
        <v>2919.3303121226627</v>
      </c>
      <c r="AV4" s="35">
        <f>K4</f>
        <v>2919.3303121226627</v>
      </c>
      <c r="AW4" s="251">
        <f>SUM(AT4:AV4)</f>
        <v>8757.9909363679872</v>
      </c>
      <c r="AX4" s="43"/>
      <c r="AY4" s="35">
        <f>L4</f>
        <v>5171.5533618733871</v>
      </c>
      <c r="AZ4" s="35">
        <f>L4</f>
        <v>5171.5533618733871</v>
      </c>
      <c r="BA4" s="35">
        <f>L4</f>
        <v>5171.5533618733871</v>
      </c>
      <c r="BB4" s="251">
        <f>SUM(AY4:BA4)</f>
        <v>15514.660085620162</v>
      </c>
      <c r="BC4" s="43"/>
      <c r="BD4" s="35">
        <f>M4</f>
        <v>7219.9132802031345</v>
      </c>
      <c r="BE4" s="35">
        <f>M4</f>
        <v>7219.9132802031345</v>
      </c>
      <c r="BF4" s="35">
        <f>M4</f>
        <v>7219.9132802031345</v>
      </c>
      <c r="BG4" s="251">
        <f>SUM(BD4:BF4)</f>
        <v>21659.739840609403</v>
      </c>
      <c r="BH4" s="43"/>
      <c r="BI4" s="35">
        <f>N4</f>
        <v>15046.586456498117</v>
      </c>
      <c r="BJ4" s="35">
        <f>N4</f>
        <v>15046.586456498117</v>
      </c>
      <c r="BK4" s="35">
        <f>N4</f>
        <v>15046.586456498117</v>
      </c>
      <c r="BL4" s="251">
        <f>SUM(BI4:BK4)</f>
        <v>45139.75936949435</v>
      </c>
      <c r="BM4" s="43"/>
      <c r="BN4" s="35">
        <f>P4</f>
        <v>27931.02258873047</v>
      </c>
      <c r="BO4" s="35">
        <f>P4</f>
        <v>27931.02258873047</v>
      </c>
      <c r="BP4" s="35">
        <f>P4</f>
        <v>27931.02258873047</v>
      </c>
      <c r="BQ4" s="251">
        <f>SUM(BN4:BP4)</f>
        <v>83793.067766191409</v>
      </c>
      <c r="BR4" s="43"/>
      <c r="BS4" s="35">
        <f>Q4</f>
        <v>51334.057923444932</v>
      </c>
      <c r="BT4" s="35">
        <f>Q4</f>
        <v>51334.057923444932</v>
      </c>
      <c r="BU4" s="35">
        <f>Q4</f>
        <v>51334.057923444932</v>
      </c>
      <c r="BV4" s="251">
        <f>SUM(BS4:BU4)</f>
        <v>154002.1737703348</v>
      </c>
      <c r="BW4" s="43"/>
      <c r="BX4" s="35">
        <f>R4</f>
        <v>95737.360180748394</v>
      </c>
      <c r="BY4" s="35">
        <f>R4</f>
        <v>95737.360180748394</v>
      </c>
      <c r="BZ4" s="35">
        <f>R4</f>
        <v>95737.360180748394</v>
      </c>
      <c r="CA4" s="251">
        <f>SUM(BX4:BZ4)</f>
        <v>287212.08054224518</v>
      </c>
      <c r="CB4" s="43"/>
      <c r="CC4" s="35">
        <f>S4</f>
        <v>181639.77264146638</v>
      </c>
      <c r="CD4" s="35">
        <f>S4</f>
        <v>181639.77264146638</v>
      </c>
      <c r="CE4" s="35">
        <f>S4</f>
        <v>181639.77264146638</v>
      </c>
      <c r="CF4" s="251">
        <f>SUM(CC4:CE4)</f>
        <v>544919.31792439916</v>
      </c>
      <c r="CG4" s="109"/>
    </row>
    <row r="5" spans="1:175" s="9" customFormat="1" ht="9.75" customHeight="1" x14ac:dyDescent="0.15">
      <c r="A5" s="51" t="s">
        <v>176</v>
      </c>
      <c r="B5" s="292">
        <v>500</v>
      </c>
      <c r="C5" s="293">
        <v>0.08</v>
      </c>
      <c r="D5" s="124"/>
      <c r="E5" s="117"/>
      <c r="F5" s="125">
        <v>1500</v>
      </c>
      <c r="G5" s="127">
        <v>2000</v>
      </c>
      <c r="H5" s="35">
        <f>SUM((IF(ISBLANK(D5),B5,D5))+(G5)*(IF(ISBLANK(E5),(1+C5),(1+E5))))</f>
        <v>2660</v>
      </c>
      <c r="I5" s="35">
        <f>SUM((IF(ISBLANK(D5),B5,D5))+(H5)*(IF(ISBLANK(E5),(1+C5),(1+E5))))</f>
        <v>3372.8</v>
      </c>
      <c r="J5" s="251">
        <f>SUM(F5+G5+H5+I5)*3</f>
        <v>28598.399999999998</v>
      </c>
      <c r="K5" s="35">
        <f>SUM((IF(ISBLANK(D5),B5,D5))+(I5)*(IF(ISBLANK(E5),(1+C5),(1+E5))))</f>
        <v>4142.6239999999998</v>
      </c>
      <c r="L5" s="35">
        <f>SUM((IF(ISBLANK(D5),B5,D5))+(K5)*(IF(ISBLANK(E5),(1+C5),(1+E5))))</f>
        <v>4974.0339199999999</v>
      </c>
      <c r="M5" s="35">
        <f>SUM((IF(ISBLANK(D5),B5,D5))+(L5)*(IF(ISBLANK(E5),(1+C5),(1+E5))))</f>
        <v>5871.9566335999998</v>
      </c>
      <c r="N5" s="35">
        <f>SUM((IF(ISBLANK(D5),B5,D5))+(M5)*(IF(ISBLANK(E5),(1+C5),(1+E5))))</f>
        <v>6841.7131642880004</v>
      </c>
      <c r="O5" s="251">
        <f>SUM(K5+L5+M5+N5)*3</f>
        <v>65490.983153664005</v>
      </c>
      <c r="P5" s="35">
        <f>SUM((IF(ISBLANK(D5),B5,D5))+(N5)*(IF(ISBLANK(E5),(1+C5),(1+E5))))</f>
        <v>7889.0502174310404</v>
      </c>
      <c r="Q5" s="35">
        <f>SUM((IF(ISBLANK(D5),B5,D5))+(P5)*(IF(ISBLANK(E5),(1+C5),(1+E5))))</f>
        <v>9020.1742348255248</v>
      </c>
      <c r="R5" s="35">
        <f>SUM((IF(ISBLANK(D5),B5,D5))+(Q5)*(IF(ISBLANK(E5),(1+C5),(1+E5))))</f>
        <v>10241.788173611567</v>
      </c>
      <c r="S5" s="35">
        <f>SUM((IF(ISBLANK(D5),B5,D5))+(R5)*(IF(ISBLANK(E5),(1+C5),(1+E5))))</f>
        <v>11561.131227500493</v>
      </c>
      <c r="T5" s="315">
        <f>SUM(P5+Q5+R5+S5)*3</f>
        <v>116136.43156010589</v>
      </c>
      <c r="U5" s="250">
        <f>SUM((IF(ISBLANK(D5),B5,D5))+(S5)*(IF(ISBLANK(E5),(1+C5),(1+E5))))*12</f>
        <v>155832.26070840639</v>
      </c>
      <c r="V5" s="251">
        <f>SUM((IF(ISBLANK(D5),B5,D5))+(U5)*(IF(ISBLANK(E5),(1+C5),(1+E5))))</f>
        <v>168798.84156507891</v>
      </c>
      <c r="W5" s="252">
        <f>SUM((IF(ISBLANK(D5),B5,D5))+(V5)*(IF(ISBLANK(E5),(1+C5),(1+E5))))</f>
        <v>182802.74889028523</v>
      </c>
      <c r="X5" s="173"/>
      <c r="Y5" s="490">
        <v>2300</v>
      </c>
      <c r="Z5" s="35">
        <f t="shared" ref="Z5:Z7" si="0">F5</f>
        <v>1500</v>
      </c>
      <c r="AA5" s="35">
        <f t="shared" ref="AA5:AA7" si="1">F5</f>
        <v>1500</v>
      </c>
      <c r="AB5" s="35">
        <f t="shared" ref="AB5:AB7" si="2">F5</f>
        <v>1500</v>
      </c>
      <c r="AC5" s="251">
        <f>SUM(Z5:AB5)</f>
        <v>4500</v>
      </c>
      <c r="AD5" s="43"/>
      <c r="AE5" s="35">
        <f t="shared" ref="AE5:AE7" si="3">G5</f>
        <v>2000</v>
      </c>
      <c r="AF5" s="35">
        <f t="shared" ref="AF5:AF7" si="4">G5</f>
        <v>2000</v>
      </c>
      <c r="AG5" s="35">
        <f t="shared" ref="AG5:AG7" si="5">G5</f>
        <v>2000</v>
      </c>
      <c r="AH5" s="251">
        <f>SUM(AE5:AG5)</f>
        <v>6000</v>
      </c>
      <c r="AI5" s="43"/>
      <c r="AJ5" s="35">
        <f t="shared" ref="AJ5:AJ7" si="6">H5</f>
        <v>2660</v>
      </c>
      <c r="AK5" s="35">
        <f t="shared" ref="AK5:AK7" si="7">H5</f>
        <v>2660</v>
      </c>
      <c r="AL5" s="35">
        <f t="shared" ref="AL5:AL7" si="8">H5</f>
        <v>2660</v>
      </c>
      <c r="AM5" s="251">
        <f>SUM(AJ5:AL5)</f>
        <v>7980</v>
      </c>
      <c r="AN5" s="43"/>
      <c r="AO5" s="35">
        <f>I5</f>
        <v>3372.8</v>
      </c>
      <c r="AP5" s="35">
        <f>I5</f>
        <v>3372.8</v>
      </c>
      <c r="AQ5" s="35">
        <f>I5</f>
        <v>3372.8</v>
      </c>
      <c r="AR5" s="251">
        <f>SUM(AO5:AQ5)</f>
        <v>10118.400000000001</v>
      </c>
      <c r="AS5" s="43"/>
      <c r="AT5" s="35">
        <f>K5</f>
        <v>4142.6239999999998</v>
      </c>
      <c r="AU5" s="35">
        <f>K5</f>
        <v>4142.6239999999998</v>
      </c>
      <c r="AV5" s="35">
        <f>K5</f>
        <v>4142.6239999999998</v>
      </c>
      <c r="AW5" s="251">
        <f>SUM(AT5:AV5)</f>
        <v>12427.871999999999</v>
      </c>
      <c r="AX5" s="43"/>
      <c r="AY5" s="35">
        <f>L5</f>
        <v>4974.0339199999999</v>
      </c>
      <c r="AZ5" s="35">
        <f>L5</f>
        <v>4974.0339199999999</v>
      </c>
      <c r="BA5" s="35">
        <f>L5</f>
        <v>4974.0339199999999</v>
      </c>
      <c r="BB5" s="251">
        <f>SUM(AY5:BA5)</f>
        <v>14922.10176</v>
      </c>
      <c r="BC5" s="43"/>
      <c r="BD5" s="35">
        <f>M5</f>
        <v>5871.9566335999998</v>
      </c>
      <c r="BE5" s="35">
        <f>M5</f>
        <v>5871.9566335999998</v>
      </c>
      <c r="BF5" s="35">
        <f>M5</f>
        <v>5871.9566335999998</v>
      </c>
      <c r="BG5" s="251">
        <f>SUM(BD5:BF5)</f>
        <v>17615.8699008</v>
      </c>
      <c r="BH5" s="43"/>
      <c r="BI5" s="35">
        <f>N5</f>
        <v>6841.7131642880004</v>
      </c>
      <c r="BJ5" s="35">
        <f>N5</f>
        <v>6841.7131642880004</v>
      </c>
      <c r="BK5" s="35">
        <f>N5</f>
        <v>6841.7131642880004</v>
      </c>
      <c r="BL5" s="251">
        <f>SUM(BI5:BK5)</f>
        <v>20525.139492864</v>
      </c>
      <c r="BM5" s="43"/>
      <c r="BN5" s="35">
        <f>P5</f>
        <v>7889.0502174310404</v>
      </c>
      <c r="BO5" s="35">
        <f>P5</f>
        <v>7889.0502174310404</v>
      </c>
      <c r="BP5" s="35">
        <f>P5</f>
        <v>7889.0502174310404</v>
      </c>
      <c r="BQ5" s="251">
        <f>SUM(BN5:BP5)</f>
        <v>23667.150652293123</v>
      </c>
      <c r="BR5" s="43"/>
      <c r="BS5" s="35">
        <f>Q5</f>
        <v>9020.1742348255248</v>
      </c>
      <c r="BT5" s="35">
        <f>Q5</f>
        <v>9020.1742348255248</v>
      </c>
      <c r="BU5" s="35">
        <f>Q5</f>
        <v>9020.1742348255248</v>
      </c>
      <c r="BV5" s="251">
        <f>SUM(BS5:BU5)</f>
        <v>27060.522704476574</v>
      </c>
      <c r="BW5" s="43"/>
      <c r="BX5" s="35">
        <f>R5</f>
        <v>10241.788173611567</v>
      </c>
      <c r="BY5" s="35">
        <f>R5</f>
        <v>10241.788173611567</v>
      </c>
      <c r="BZ5" s="35">
        <f>R5</f>
        <v>10241.788173611567</v>
      </c>
      <c r="CA5" s="251">
        <f>SUM(BX5:BZ5)</f>
        <v>30725.364520834701</v>
      </c>
      <c r="CB5" s="43"/>
      <c r="CC5" s="35">
        <f>S5</f>
        <v>11561.131227500493</v>
      </c>
      <c r="CD5" s="35">
        <f>S5</f>
        <v>11561.131227500493</v>
      </c>
      <c r="CE5" s="35">
        <f>S5</f>
        <v>11561.131227500493</v>
      </c>
      <c r="CF5" s="251">
        <f>SUM(CC5:CE5)</f>
        <v>34683.393682501483</v>
      </c>
      <c r="CG5" s="109"/>
    </row>
    <row r="6" spans="1:175" s="9" customFormat="1" ht="9.75" customHeight="1" x14ac:dyDescent="0.15">
      <c r="A6" s="484" t="s">
        <v>177</v>
      </c>
      <c r="B6" s="250">
        <v>100</v>
      </c>
      <c r="C6" s="293">
        <v>0.02</v>
      </c>
      <c r="D6" s="125"/>
      <c r="E6" s="117"/>
      <c r="F6" s="125">
        <v>0</v>
      </c>
      <c r="G6" s="127">
        <v>100</v>
      </c>
      <c r="H6" s="35">
        <f>SUM(IF(ISBLANK(D6),B6,D6)+(G18*(IF(ISBLANK(E6),C6,E6))))</f>
        <v>202.38028305815033</v>
      </c>
      <c r="I6" s="35">
        <f>SUM(IF(ISBLANK(D6),B6,D6)+(H18*(IF(ISBLANK(E6),C6,E6))))</f>
        <v>658.85468039071577</v>
      </c>
      <c r="J6" s="251">
        <f>SUM(F6+G6+H6+I6)*3</f>
        <v>2883.7048903465984</v>
      </c>
      <c r="K6" s="35">
        <f>SUM(IF(ISBLANK(D6),B6,D6)+(I18*(IF(ISBLANK(E6),C6,E6))))</f>
        <v>1200.1446306844073</v>
      </c>
      <c r="L6" s="35">
        <f>SUM(IF(ISBLANK(D6),B6,D6)+(K18*(IF(ISBLANK(E6),C6,E6))))</f>
        <v>1800.4705701624052</v>
      </c>
      <c r="M6" s="35">
        <f>SUM(IF(ISBLANK(D6),B6,D6)+(L18*(IF(ISBLANK(E6),C6,E6))))</f>
        <v>2560.7622175766173</v>
      </c>
      <c r="N6" s="35">
        <f>SUM(IF(ISBLANK(D6),B6,D6)+(M18*(IF(ISBLANK(E6),C6,E6))))</f>
        <v>3585.0026494317262</v>
      </c>
      <c r="O6" s="251">
        <f>SUM(K6+L6+M6+N6)*3</f>
        <v>27439.140203565468</v>
      </c>
      <c r="P6" s="35">
        <f>SUM(IF(ISBLANK(D6),B6,D6)+(N18*(IF(ISBLANK(E6),C6,E6))))</f>
        <v>5342.3447624993469</v>
      </c>
      <c r="Q6" s="35">
        <f>SUM(IF(ISBLANK(D6),B6,D6)+(P18*(IF(ISBLANK(E6),C6,E6))))</f>
        <v>8324.7889675063161</v>
      </c>
      <c r="R6" s="35">
        <f>SUM(IF(ISBLANK(D6),B6,D6)+(Q18*(IF(ISBLANK(E6),C6,E6))))</f>
        <v>13522.141731150101</v>
      </c>
      <c r="S6" s="35">
        <f>SUM(IF(ISBLANK(D6),B6,D6)+(R18*(IF(ISBLANK(E6),C6,E6))))</f>
        <v>22906.628623901484</v>
      </c>
      <c r="T6" s="315">
        <f>SUM(P6+Q6+R6+S6)*3</f>
        <v>150287.71225517173</v>
      </c>
      <c r="U6" s="250">
        <f>SUM(IF(ISBLANK(D6),B6,D6)+(S18*(IF(ISBLANK(E6),C6,E6))))*12</f>
        <v>485124.72947467037</v>
      </c>
      <c r="V6" s="251">
        <f>SUM(IF(ISBLANK(D6),B6,D6)+(U18*(IF(ISBLANK(E6),C6,E6))))*12</f>
        <v>1415089.3630640754</v>
      </c>
      <c r="W6" s="252">
        <f>SUM(IF(ISBLANK(D6),B6,D6)+(V18*(IF(ISBLANK(E6),C6,E6))))*12</f>
        <v>3363826.0009031282</v>
      </c>
      <c r="X6" s="173"/>
      <c r="Y6" s="490">
        <v>0</v>
      </c>
      <c r="Z6" s="35">
        <f t="shared" si="0"/>
        <v>0</v>
      </c>
      <c r="AA6" s="35">
        <f t="shared" si="1"/>
        <v>0</v>
      </c>
      <c r="AB6" s="35">
        <f t="shared" si="2"/>
        <v>0</v>
      </c>
      <c r="AC6" s="251">
        <f t="shared" ref="AC6:AC7" si="9">SUM(Z6:AB6)</f>
        <v>0</v>
      </c>
      <c r="AD6" s="43"/>
      <c r="AE6" s="35">
        <f t="shared" si="3"/>
        <v>100</v>
      </c>
      <c r="AF6" s="35">
        <f t="shared" si="4"/>
        <v>100</v>
      </c>
      <c r="AG6" s="35">
        <f t="shared" si="5"/>
        <v>100</v>
      </c>
      <c r="AH6" s="251">
        <f t="shared" ref="AH6:AH7" si="10">SUM(AE6:AG6)</f>
        <v>300</v>
      </c>
      <c r="AI6" s="43"/>
      <c r="AJ6" s="35">
        <f t="shared" si="6"/>
        <v>202.38028305815033</v>
      </c>
      <c r="AK6" s="35">
        <f t="shared" si="7"/>
        <v>202.38028305815033</v>
      </c>
      <c r="AL6" s="35">
        <f t="shared" si="8"/>
        <v>202.38028305815033</v>
      </c>
      <c r="AM6" s="251">
        <f t="shared" ref="AM6:AM8" si="11">SUM(AJ6:AL6)</f>
        <v>607.14084917445098</v>
      </c>
      <c r="AN6" s="43"/>
      <c r="AO6" s="35">
        <f t="shared" ref="AO6:AO7" si="12">I6</f>
        <v>658.85468039071577</v>
      </c>
      <c r="AP6" s="35">
        <f t="shared" ref="AP6:AP7" si="13">I6</f>
        <v>658.85468039071577</v>
      </c>
      <c r="AQ6" s="35">
        <f t="shared" ref="AQ6:AQ7" si="14">I6</f>
        <v>658.85468039071577</v>
      </c>
      <c r="AR6" s="251">
        <f t="shared" ref="AR6:AR8" si="15">SUM(AO6:AQ6)</f>
        <v>1976.5640411721474</v>
      </c>
      <c r="AS6" s="43"/>
      <c r="AT6" s="35">
        <f t="shared" ref="AT6:AT7" si="16">K6</f>
        <v>1200.1446306844073</v>
      </c>
      <c r="AU6" s="35">
        <f t="shared" ref="AU6:AU7" si="17">K6</f>
        <v>1200.1446306844073</v>
      </c>
      <c r="AV6" s="35">
        <f t="shared" ref="AV6:AV7" si="18">K6</f>
        <v>1200.1446306844073</v>
      </c>
      <c r="AW6" s="251">
        <f t="shared" ref="AW6:AW8" si="19">SUM(AT6:AV6)</f>
        <v>3600.4338920532218</v>
      </c>
      <c r="AX6" s="43"/>
      <c r="AY6" s="35">
        <f t="shared" ref="AY6:AY7" si="20">L6</f>
        <v>1800.4705701624052</v>
      </c>
      <c r="AZ6" s="35">
        <f t="shared" ref="AZ6:AZ7" si="21">L6</f>
        <v>1800.4705701624052</v>
      </c>
      <c r="BA6" s="35">
        <f t="shared" ref="BA6:BA7" si="22">L6</f>
        <v>1800.4705701624052</v>
      </c>
      <c r="BB6" s="251">
        <f t="shared" ref="BB6:BB8" si="23">SUM(AY6:BA6)</f>
        <v>5401.4117104872157</v>
      </c>
      <c r="BC6" s="43"/>
      <c r="BD6" s="35">
        <f t="shared" ref="BD6:BD7" si="24">M6</f>
        <v>2560.7622175766173</v>
      </c>
      <c r="BE6" s="35">
        <f t="shared" ref="BE6:BE7" si="25">M6</f>
        <v>2560.7622175766173</v>
      </c>
      <c r="BF6" s="35">
        <f t="shared" ref="BF6:BF7" si="26">M6</f>
        <v>2560.7622175766173</v>
      </c>
      <c r="BG6" s="251">
        <f t="shared" ref="BG6:BG8" si="27">SUM(BD6:BF6)</f>
        <v>7682.286652729852</v>
      </c>
      <c r="BH6" s="43"/>
      <c r="BI6" s="35">
        <f t="shared" ref="BI6:BI7" si="28">N6</f>
        <v>3585.0026494317262</v>
      </c>
      <c r="BJ6" s="35">
        <f t="shared" ref="BJ6" si="29">N6</f>
        <v>3585.0026494317262</v>
      </c>
      <c r="BK6" s="35">
        <f t="shared" ref="BK6:BK7" si="30">N6</f>
        <v>3585.0026494317262</v>
      </c>
      <c r="BL6" s="251">
        <f t="shared" ref="BL6:BL8" si="31">SUM(BI6:BK6)</f>
        <v>10755.007948295179</v>
      </c>
      <c r="BM6" s="43"/>
      <c r="BN6" s="35">
        <f t="shared" ref="BN6:BN7" si="32">P6</f>
        <v>5342.3447624993469</v>
      </c>
      <c r="BO6" s="35">
        <f t="shared" ref="BO6:BO7" si="33">P6</f>
        <v>5342.3447624993469</v>
      </c>
      <c r="BP6" s="35">
        <f t="shared" ref="BP6:BP7" si="34">P6</f>
        <v>5342.3447624993469</v>
      </c>
      <c r="BQ6" s="251">
        <f t="shared" ref="BQ6:BQ8" si="35">SUM(BN6:BP6)</f>
        <v>16027.034287498042</v>
      </c>
      <c r="BR6" s="43"/>
      <c r="BS6" s="35">
        <f t="shared" ref="BS6:BS7" si="36">Q6</f>
        <v>8324.7889675063161</v>
      </c>
      <c r="BT6" s="35">
        <f t="shared" ref="BT6:BT7" si="37">Q6</f>
        <v>8324.7889675063161</v>
      </c>
      <c r="BU6" s="35">
        <f t="shared" ref="BU6:BU7" si="38">Q6</f>
        <v>8324.7889675063161</v>
      </c>
      <c r="BV6" s="251">
        <f t="shared" ref="BV6:BV8" si="39">SUM(BS6:BU6)</f>
        <v>24974.366902518948</v>
      </c>
      <c r="BW6" s="43"/>
      <c r="BX6" s="35">
        <f t="shared" ref="BX6:BX7" si="40">R6</f>
        <v>13522.141731150101</v>
      </c>
      <c r="BY6" s="35">
        <f t="shared" ref="BY6:BY7" si="41">R6</f>
        <v>13522.141731150101</v>
      </c>
      <c r="BZ6" s="35">
        <f t="shared" ref="BZ6" si="42">R6</f>
        <v>13522.141731150101</v>
      </c>
      <c r="CA6" s="251">
        <f t="shared" ref="CA6:CA7" si="43">SUM(BX6:BZ6)</f>
        <v>40566.425193450305</v>
      </c>
      <c r="CB6" s="43"/>
      <c r="CC6" s="35">
        <f t="shared" ref="CC6:CC7" si="44">S6</f>
        <v>22906.628623901484</v>
      </c>
      <c r="CD6" s="35">
        <f t="shared" ref="CD6:CD7" si="45">S6</f>
        <v>22906.628623901484</v>
      </c>
      <c r="CE6" s="35">
        <f t="shared" ref="CE6:CE7" si="46">S6</f>
        <v>22906.628623901484</v>
      </c>
      <c r="CF6" s="251">
        <f t="shared" ref="CF6:CF8" si="47">SUM(CC6:CE6)</f>
        <v>68719.88587170445</v>
      </c>
      <c r="CG6" s="109"/>
    </row>
    <row r="7" spans="1:175" s="9" customFormat="1" ht="9.75" customHeight="1" x14ac:dyDescent="0.15">
      <c r="A7" s="51" t="s">
        <v>178</v>
      </c>
      <c r="B7" s="250">
        <v>100</v>
      </c>
      <c r="C7" s="293">
        <v>4.0000000000000001E-3</v>
      </c>
      <c r="D7" s="125"/>
      <c r="E7" s="117"/>
      <c r="F7" s="125">
        <v>0</v>
      </c>
      <c r="G7" s="127">
        <v>0</v>
      </c>
      <c r="H7" s="127">
        <v>0</v>
      </c>
      <c r="I7" s="127">
        <v>0</v>
      </c>
      <c r="J7" s="251">
        <f>SUM((F7+G7+H7+I7)*3)</f>
        <v>0</v>
      </c>
      <c r="K7" s="35">
        <f>SUM(IF(ISBLANK(D7),B7,D7)+(I18*(IF(ISBLANK(E7),C7,E7))))</f>
        <v>320.02892613688147</v>
      </c>
      <c r="L7" s="35">
        <f>SUM(IF(ISBLANK(D7),B7,D7)+(K18*(IF(ISBLANK(E7),C7,E7))))</f>
        <v>440.09411403248106</v>
      </c>
      <c r="M7" s="35">
        <f>SUM(IF(ISBLANK(D7),B7,D7)+(L18*(IF(ISBLANK(E7),C7,E7))))</f>
        <v>592.15244351532351</v>
      </c>
      <c r="N7" s="35">
        <f>SUM(IF(ISBLANK(D7),B7,D7)+(M18*(IF(ISBLANK(E7),C7,E7))))</f>
        <v>797.00052988634525</v>
      </c>
      <c r="O7" s="251">
        <f>SUM(K7+L7+M7+N7)*3</f>
        <v>6447.8280407130942</v>
      </c>
      <c r="P7" s="35">
        <f>SUM(IF(ISBLANK(D7),B7,D7)+(N18*(IF(ISBLANK(E7),C7,E7))))</f>
        <v>1148.4689524998694</v>
      </c>
      <c r="Q7" s="35">
        <f>SUM(IF(ISBLANK(D7),B7,D7)+(P18*(IF(ISBLANK(E7),C7,E7))))</f>
        <v>1744.9577935012633</v>
      </c>
      <c r="R7" s="35">
        <f>SUM(IF(ISBLANK(D7),B7,D7)+(Q18*(IF(ISBLANK(E7),C7,E7))))</f>
        <v>2784.4283462300205</v>
      </c>
      <c r="S7" s="35">
        <f>SUM(IF(ISBLANK(D7),B7,D7)+(R18*(IF(ISBLANK(E7),C7,E7))))</f>
        <v>4661.3257247802967</v>
      </c>
      <c r="T7" s="315">
        <f>SUM(P7+Q7+R7+S7)*3</f>
        <v>31017.542451034347</v>
      </c>
      <c r="U7" s="250">
        <f>SUM(IF(ISBLANK(D7),B7,D7)+(S18*(IF(ISBLANK(E7),C7,E7))))*12</f>
        <v>97984.945894934062</v>
      </c>
      <c r="V7" s="251">
        <f>SUM(IF(ISBLANK(D7),B7,D7)+(U18*(IF(ISBLANK(E7),C7,E7))))*12</f>
        <v>283977.87261281512</v>
      </c>
      <c r="W7" s="252">
        <f>SUM(IF(ISBLANK(D7),B7,D7)+(V18*(IF(ISBLANK(E7),C7,E7))))*12</f>
        <v>673725.20018062554</v>
      </c>
      <c r="X7" s="173"/>
      <c r="Y7" s="490">
        <v>0</v>
      </c>
      <c r="Z7" s="35">
        <f t="shared" si="0"/>
        <v>0</v>
      </c>
      <c r="AA7" s="35">
        <f t="shared" si="1"/>
        <v>0</v>
      </c>
      <c r="AB7" s="35">
        <f t="shared" si="2"/>
        <v>0</v>
      </c>
      <c r="AC7" s="251">
        <f t="shared" si="9"/>
        <v>0</v>
      </c>
      <c r="AD7" s="43"/>
      <c r="AE7" s="35">
        <f t="shared" si="3"/>
        <v>0</v>
      </c>
      <c r="AF7" s="35">
        <f t="shared" si="4"/>
        <v>0</v>
      </c>
      <c r="AG7" s="35">
        <f t="shared" si="5"/>
        <v>0</v>
      </c>
      <c r="AH7" s="251">
        <f t="shared" si="10"/>
        <v>0</v>
      </c>
      <c r="AI7" s="43"/>
      <c r="AJ7" s="35">
        <f t="shared" si="6"/>
        <v>0</v>
      </c>
      <c r="AK7" s="35">
        <f t="shared" si="7"/>
        <v>0</v>
      </c>
      <c r="AL7" s="35">
        <f t="shared" si="8"/>
        <v>0</v>
      </c>
      <c r="AM7" s="251">
        <f t="shared" si="11"/>
        <v>0</v>
      </c>
      <c r="AN7" s="43"/>
      <c r="AO7" s="35">
        <f t="shared" si="12"/>
        <v>0</v>
      </c>
      <c r="AP7" s="35">
        <f t="shared" si="13"/>
        <v>0</v>
      </c>
      <c r="AQ7" s="35">
        <f t="shared" si="14"/>
        <v>0</v>
      </c>
      <c r="AR7" s="251">
        <f t="shared" si="15"/>
        <v>0</v>
      </c>
      <c r="AS7" s="43"/>
      <c r="AT7" s="35">
        <f t="shared" si="16"/>
        <v>320.02892613688147</v>
      </c>
      <c r="AU7" s="35">
        <f t="shared" si="17"/>
        <v>320.02892613688147</v>
      </c>
      <c r="AV7" s="35">
        <f t="shared" si="18"/>
        <v>320.02892613688147</v>
      </c>
      <c r="AW7" s="251">
        <f t="shared" si="19"/>
        <v>960.08677841064446</v>
      </c>
      <c r="AX7" s="43"/>
      <c r="AY7" s="35">
        <f t="shared" si="20"/>
        <v>440.09411403248106</v>
      </c>
      <c r="AZ7" s="35">
        <f t="shared" si="21"/>
        <v>440.09411403248106</v>
      </c>
      <c r="BA7" s="35">
        <f t="shared" si="22"/>
        <v>440.09411403248106</v>
      </c>
      <c r="BB7" s="251">
        <f t="shared" si="23"/>
        <v>1320.2823420974432</v>
      </c>
      <c r="BC7" s="43"/>
      <c r="BD7" s="35">
        <f t="shared" si="24"/>
        <v>592.15244351532351</v>
      </c>
      <c r="BE7" s="35">
        <f t="shared" si="25"/>
        <v>592.15244351532351</v>
      </c>
      <c r="BF7" s="35">
        <f t="shared" si="26"/>
        <v>592.15244351532351</v>
      </c>
      <c r="BG7" s="251">
        <f t="shared" si="27"/>
        <v>1776.4573305459705</v>
      </c>
      <c r="BH7" s="43"/>
      <c r="BI7" s="35">
        <f t="shared" si="28"/>
        <v>797.00052988634525</v>
      </c>
      <c r="BJ7" s="35">
        <f>N7</f>
        <v>797.00052988634525</v>
      </c>
      <c r="BK7" s="35">
        <f t="shared" si="30"/>
        <v>797.00052988634525</v>
      </c>
      <c r="BL7" s="251">
        <f t="shared" si="31"/>
        <v>2391.0015896590357</v>
      </c>
      <c r="BM7" s="43"/>
      <c r="BN7" s="35">
        <f t="shared" si="32"/>
        <v>1148.4689524998694</v>
      </c>
      <c r="BO7" s="35">
        <f t="shared" si="33"/>
        <v>1148.4689524998694</v>
      </c>
      <c r="BP7" s="35">
        <f t="shared" si="34"/>
        <v>1148.4689524998694</v>
      </c>
      <c r="BQ7" s="251">
        <f t="shared" si="35"/>
        <v>3445.4068574996081</v>
      </c>
      <c r="BR7" s="43"/>
      <c r="BS7" s="35">
        <f t="shared" si="36"/>
        <v>1744.9577935012633</v>
      </c>
      <c r="BT7" s="35">
        <f t="shared" si="37"/>
        <v>1744.9577935012633</v>
      </c>
      <c r="BU7" s="35">
        <f t="shared" si="38"/>
        <v>1744.9577935012633</v>
      </c>
      <c r="BV7" s="251">
        <f t="shared" si="39"/>
        <v>5234.87338050379</v>
      </c>
      <c r="BW7" s="43"/>
      <c r="BX7" s="35">
        <f t="shared" si="40"/>
        <v>2784.4283462300205</v>
      </c>
      <c r="BY7" s="35">
        <f t="shared" si="41"/>
        <v>2784.4283462300205</v>
      </c>
      <c r="BZ7" s="35">
        <f>R7</f>
        <v>2784.4283462300205</v>
      </c>
      <c r="CA7" s="251">
        <f t="shared" si="43"/>
        <v>8353.2850386900609</v>
      </c>
      <c r="CB7" s="43"/>
      <c r="CC7" s="35">
        <f t="shared" si="44"/>
        <v>4661.3257247802967</v>
      </c>
      <c r="CD7" s="35">
        <f t="shared" si="45"/>
        <v>4661.3257247802967</v>
      </c>
      <c r="CE7" s="35">
        <f t="shared" si="46"/>
        <v>4661.3257247802967</v>
      </c>
      <c r="CF7" s="251">
        <f t="shared" si="47"/>
        <v>13983.977174340889</v>
      </c>
      <c r="CG7" s="109"/>
    </row>
    <row r="8" spans="1:175" s="9" customFormat="1" ht="9.75" customHeight="1" thickBot="1" x14ac:dyDescent="0.2">
      <c r="A8" s="229" t="s">
        <v>179</v>
      </c>
      <c r="B8" s="294">
        <v>5000000</v>
      </c>
      <c r="C8" s="295">
        <v>300000000</v>
      </c>
      <c r="D8" s="230"/>
      <c r="E8" s="231"/>
      <c r="F8" s="232">
        <f>SUM(IF(((1-(Y18/(IF(ISBLANK(D8),B8,(IF(D8=0,9.99999999999999E+29,D8))))))*SUM(F4:F7))&lt;0,0,((1-(Y18/(IF(ISBLANK(D8),B8,(IF(D8=0,9.99999999999999E+29,D8))))))*SUM(F4:F7))))</f>
        <v>1699.49</v>
      </c>
      <c r="G8" s="233">
        <f>SUM(IF(((1-(F18/(IF(ISBLANK(D8),B8,(IF(D8=0,9.99999999999999E+29,D8))))))*SUM(G4:G7))&lt;0,0,((1-(F18/(IF(ISBLANK(D8),B8,(IF(D8=0,9.99999999999999E+29,D8))))))*SUM(G4:G7))))</f>
        <v>2299.0132015260306</v>
      </c>
      <c r="H8" s="233">
        <f>SUM(IF(((1-(G18/(IF(ISBLANK(D8),B8,(IF(D8=0,9.99999999999999E+29,D8))))))*SUM(H4:H7))&lt;0,0,((1-(G18/(IF(ISBLANK(D8),B8,(IF(D8=0,9.99999999999999E+29,D8))))))*SUM(H4:H7))))</f>
        <v>6744.3572034587814</v>
      </c>
      <c r="I8" s="233">
        <f>SUM(IF(((1-(H18/(IF(ISBLANK(D8),B8,(IF(D8=0,9.99999999999999E+29,D8))))))*SUM(I4:I7))&lt;0,0,((1-(H18/(IF(ISBLANK(D8),B8,(IF(D8=0,9.99999999999999E+29,D8))))))*SUM(I4:I7))))</f>
        <v>7380.009871532814</v>
      </c>
      <c r="J8" s="255">
        <f t="shared" ref="J8" si="48">SUM(F8:I8)*3</f>
        <v>54368.610829552868</v>
      </c>
      <c r="K8" s="233">
        <f>SUM(IF(((1-(I18/(IF(ISBLANK(E8),C8,(IF(E8=0,9.99999999999999E+29,E8))))))*SUM(K4:K7))&lt;0,0,((1-(I18/(IF(ISBLANK(E8),C8,(IF(E8=0,9.99999999999999E+29,E8))))))*SUM(K4:K7))))</f>
        <v>8580.5542719614732</v>
      </c>
      <c r="L8" s="233">
        <f>SUM(IF(((1-(K18/(IF(ISBLANK(E8),C8,(IF(E8=0,9.99999999999999E+29,E8))))))*SUM(L4:L7))&lt;0,0,((1-(K18/(IF(ISBLANK(E8),C8,(IF(E8=0,9.99999999999999E+29,E8))))))*SUM(L4:L7))))</f>
        <v>12382.641584918963</v>
      </c>
      <c r="M8" s="233">
        <f>SUM(IF(((1-(L18/(IF(ISBLANK(E8),C8,(IF(E8=0,9.99999999999999E+29,E8))))))*SUM(M4:M7))&lt;0,0,((1-(L18/(IF(ISBLANK(E8),C8,(IF(E8=0,9.99999999999999E+29,E8))))))*SUM(M4:M7))))</f>
        <v>16238.122149542647</v>
      </c>
      <c r="N8" s="233">
        <f>SUM(IF(((1-(M18/(IF(ISBLANK(E8),C8,(IF(E8=0,9.99999999999999E+29,E8))))))*SUM(N4:N7))&lt;0,0,((1-(M18/(IF(ISBLANK(E8),C8,(IF(E8=0,9.99999999999999E+29,E8))))))*SUM(N4:N7))))</f>
        <v>26255.044120960902</v>
      </c>
      <c r="O8" s="255">
        <f t="shared" ref="O8" si="49">SUM(K8:N8)*3</f>
        <v>190369.08638215193</v>
      </c>
      <c r="P8" s="233">
        <f>SUM(IF(((1-(N18/(IF(ISBLANK(E8),C8,(IF(E8=0,9.99999999999999E+29,E8))))))*SUM(P4:P7))&lt;0,0,((1-(N18/(IF(ISBLANK(E8),C8,(IF(E8=0,9.99999999999999E+29,E8))))))*SUM(P4:P7))))</f>
        <v>42273.918478768908</v>
      </c>
      <c r="Q8" s="233">
        <f>SUM(IF(((1-(P18/(IF(ISBLANK(E8),C8,(IF(E8=0,9.99999999999999E+29,E8))))))*SUM(Q4:Q7))&lt;0,0,((1-(P18/(IF(ISBLANK(E8),C8,(IF(E8=0,9.99999999999999E+29,E8))))))*SUM(Q4:Q7))))</f>
        <v>70327.441858467515</v>
      </c>
      <c r="R8" s="233">
        <f>SUM(IF(((1-(Q18/(IF(ISBLANK(E8),C8,(IF(E8=0,9.99999999999999E+29,E8))))))*SUM(R4:R7))&lt;0,0,((1-(Q18/(IF(ISBLANK(E8),C8,(IF(E8=0,9.99999999999999E+29,E8))))))*SUM(R4:R7))))</f>
        <v>122012.16239099235</v>
      </c>
      <c r="S8" s="233">
        <f>SUM(IF(((1-(R18/(IF(ISBLANK(E8),C8,(IF(E8=0,9.99999999999999E+29,E8))))))*SUM(S4:S7))&lt;0,0,((1-(R18/(IF(ISBLANK(E8),C8,(IF(E8=0,9.99999999999999E+29,E8))))))*SUM(S4:S7))))</f>
        <v>219929.69265746657</v>
      </c>
      <c r="T8" s="253">
        <f t="shared" ref="T8" si="50">SUM(P8:S8)*3</f>
        <v>1363629.6461570859</v>
      </c>
      <c r="U8" s="254">
        <f>SUM(IF(((1-(T18/(IF(ISBLANK(E8),C8,(IF(E8=0,9.99999999999999E+29,E8))))))*SUM(U4:U7))&lt;0,0,((1-(T18/(IF(ISBLANK(E8),C8,(IF(E8=0,9.99999999999999E+29,E8))))))*SUM(U4:U7))))</f>
        <v>2788039.4718378671</v>
      </c>
      <c r="V8" s="255">
        <f>SUM(IF(((1-(U18/(IF(ISBLANK(E8),C8,(IF(E8=0,9.99999999999999E+29,E8))))))*SUM(V4:V7))&lt;0,0,((1-(U18/(IF(ISBLANK(E8),C8,(IF(E8=0,9.99999999999999E+29,E8))))))*SUM(V4:V7))))</f>
        <v>5832666.327937373</v>
      </c>
      <c r="W8" s="256">
        <f>SUM(IF(((1-(V18/(IF(ISBLANK(E8),C8,(IF(E8=0,9.99999999999999E+29,E8))))))*SUM(W4:W7))&lt;0,0,((1-(V18/(IF(ISBLANK(E8),C8,(IF(E8=0,9.99999999999999E+29,E8))))))*SUM(W4:W7))))</f>
        <v>7995320.4278125549</v>
      </c>
      <c r="X8" s="236"/>
      <c r="Y8" s="497">
        <f>SUM(Y4:Y7)</f>
        <v>2300</v>
      </c>
      <c r="Z8" s="233">
        <f>F8</f>
        <v>1699.49</v>
      </c>
      <c r="AA8" s="233">
        <f>F8</f>
        <v>1699.49</v>
      </c>
      <c r="AB8" s="233">
        <f>F8</f>
        <v>1699.49</v>
      </c>
      <c r="AC8" s="255">
        <f t="shared" ref="AC8:AC17" si="51">SUM(Z8:AB8)</f>
        <v>5098.47</v>
      </c>
      <c r="AD8" s="234"/>
      <c r="AE8" s="233">
        <f>G8</f>
        <v>2299.0132015260306</v>
      </c>
      <c r="AF8" s="233">
        <f>G8</f>
        <v>2299.0132015260306</v>
      </c>
      <c r="AG8" s="233">
        <f>G8</f>
        <v>2299.0132015260306</v>
      </c>
      <c r="AH8" s="255">
        <f t="shared" ref="AH8:AH17" si="52">SUM(AE8:AG8)</f>
        <v>6897.0396045780917</v>
      </c>
      <c r="AI8" s="234"/>
      <c r="AJ8" s="233">
        <f>H8</f>
        <v>6744.3572034587814</v>
      </c>
      <c r="AK8" s="233">
        <f>H8</f>
        <v>6744.3572034587814</v>
      </c>
      <c r="AL8" s="233">
        <f>H8</f>
        <v>6744.3572034587814</v>
      </c>
      <c r="AM8" s="255">
        <f t="shared" si="11"/>
        <v>20233.071610376344</v>
      </c>
      <c r="AN8" s="234"/>
      <c r="AO8" s="233">
        <f>I8</f>
        <v>7380.009871532814</v>
      </c>
      <c r="AP8" s="233">
        <f>I8</f>
        <v>7380.009871532814</v>
      </c>
      <c r="AQ8" s="233">
        <f>I8</f>
        <v>7380.009871532814</v>
      </c>
      <c r="AR8" s="255">
        <f t="shared" si="15"/>
        <v>22140.029614598443</v>
      </c>
      <c r="AS8" s="234"/>
      <c r="AT8" s="233">
        <f>K8</f>
        <v>8580.5542719614732</v>
      </c>
      <c r="AU8" s="233">
        <f>K8</f>
        <v>8580.5542719614732</v>
      </c>
      <c r="AV8" s="233">
        <f>K8</f>
        <v>8580.5542719614732</v>
      </c>
      <c r="AW8" s="255">
        <f t="shared" si="19"/>
        <v>25741.662815884418</v>
      </c>
      <c r="AX8" s="234"/>
      <c r="AY8" s="233">
        <f>L8</f>
        <v>12382.641584918963</v>
      </c>
      <c r="AZ8" s="233">
        <f>L8</f>
        <v>12382.641584918963</v>
      </c>
      <c r="BA8" s="233">
        <f>L8</f>
        <v>12382.641584918963</v>
      </c>
      <c r="BB8" s="255">
        <f t="shared" si="23"/>
        <v>37147.924754756888</v>
      </c>
      <c r="BC8" s="234"/>
      <c r="BD8" s="233">
        <f>M8</f>
        <v>16238.122149542647</v>
      </c>
      <c r="BE8" s="233">
        <f>M8</f>
        <v>16238.122149542647</v>
      </c>
      <c r="BF8" s="233">
        <f>M8</f>
        <v>16238.122149542647</v>
      </c>
      <c r="BG8" s="255">
        <f t="shared" si="27"/>
        <v>48714.366448627945</v>
      </c>
      <c r="BH8" s="234"/>
      <c r="BI8" s="233">
        <f>N8</f>
        <v>26255.044120960902</v>
      </c>
      <c r="BJ8" s="233">
        <f>N8</f>
        <v>26255.044120960902</v>
      </c>
      <c r="BK8" s="233">
        <f>N8</f>
        <v>26255.044120960902</v>
      </c>
      <c r="BL8" s="255">
        <f t="shared" si="31"/>
        <v>78765.132362882709</v>
      </c>
      <c r="BM8" s="234"/>
      <c r="BN8" s="233">
        <f>P8</f>
        <v>42273.918478768908</v>
      </c>
      <c r="BO8" s="233">
        <f>P8</f>
        <v>42273.918478768908</v>
      </c>
      <c r="BP8" s="233">
        <f>P8</f>
        <v>42273.918478768908</v>
      </c>
      <c r="BQ8" s="255">
        <f t="shared" si="35"/>
        <v>126821.75543630673</v>
      </c>
      <c r="BR8" s="234"/>
      <c r="BS8" s="233">
        <f>Q8</f>
        <v>70327.441858467515</v>
      </c>
      <c r="BT8" s="233">
        <f>Q8</f>
        <v>70327.441858467515</v>
      </c>
      <c r="BU8" s="233">
        <f>Q8</f>
        <v>70327.441858467515</v>
      </c>
      <c r="BV8" s="255">
        <f t="shared" si="39"/>
        <v>210982.32557540253</v>
      </c>
      <c r="BW8" s="234"/>
      <c r="BX8" s="233">
        <f>R8</f>
        <v>122012.16239099235</v>
      </c>
      <c r="BY8" s="233">
        <f>R8</f>
        <v>122012.16239099235</v>
      </c>
      <c r="BZ8" s="233">
        <f>R8</f>
        <v>122012.16239099235</v>
      </c>
      <c r="CA8" s="255">
        <f>SUM(BX8:BZ8)</f>
        <v>366036.48717297707</v>
      </c>
      <c r="CB8" s="234"/>
      <c r="CC8" s="233">
        <f>S8</f>
        <v>219929.69265746657</v>
      </c>
      <c r="CD8" s="233">
        <f>S8</f>
        <v>219929.69265746657</v>
      </c>
      <c r="CE8" s="233">
        <f>S8</f>
        <v>219929.69265746657</v>
      </c>
      <c r="CF8" s="255">
        <f t="shared" si="47"/>
        <v>659789.07797239977</v>
      </c>
      <c r="CG8" s="235"/>
      <c r="CH8" s="110"/>
    </row>
    <row r="9" spans="1:175" s="10" customFormat="1" ht="9.75" customHeight="1" x14ac:dyDescent="0.15">
      <c r="A9" s="210" t="s">
        <v>180</v>
      </c>
      <c r="B9" s="257">
        <v>0.05</v>
      </c>
      <c r="C9" s="296">
        <v>-2E-3</v>
      </c>
      <c r="D9" s="211"/>
      <c r="E9" s="440"/>
      <c r="F9" s="446">
        <v>0.01</v>
      </c>
      <c r="G9" s="212">
        <v>0.03</v>
      </c>
      <c r="H9" s="213">
        <f>SUM(IF((0*(IF(ISBLANK(E9),C9,E9)))+(IF(ISBLANK(D9),B9,D9)) &lt; 0, 0, (0*(IF(ISBLANK(E9),C9,E9)))+(IF(ISBLANK(D9),B9,D9))))</f>
        <v>0.05</v>
      </c>
      <c r="I9" s="213">
        <f>SUM(IF((1*(IF(ISBLANK(E9),C9,E9)))+(IF(ISBLANK(D9),B9,D9)) &lt; 0, 0, (1*(IF(ISBLANK(E9),C9,E9)))+(IF(ISBLANK(D9),B9,D9))))</f>
        <v>4.8000000000000001E-2</v>
      </c>
      <c r="J9" s="258">
        <f>SUM(((1+F9)*(1+F9)*(1+F9)*(1+G9)*(1+G9)*(1+G9)*(1+H9)*(1+H9)*(1+H9)*(1+I9)*(1+I9)*(1+I9))-1)</f>
        <v>0.50012531730574872</v>
      </c>
      <c r="K9" s="213">
        <f>SUM(IF((2*(IF(ISBLANK(E9),C9,E9)))+(IF(ISBLANK(D9),B9,D9)) &lt; 0, 0, (2*(IF(ISBLANK(E9),C9,E9)))+(IF(ISBLANK(D9),B9,D9))))</f>
        <v>4.5999999999999999E-2</v>
      </c>
      <c r="L9" s="213">
        <f>SUM(IF((3*(IF(ISBLANK(E9),C9,E9)))+(IF(ISBLANK(D9),B9,D9)) &lt; 0, 0, (3*(IF(ISBLANK(E9),C9,E9)))+(IF(ISBLANK(D9),B9,D9))))</f>
        <v>4.4000000000000004E-2</v>
      </c>
      <c r="M9" s="213">
        <f>SUM(IF((4*(IF(ISBLANK(E9),C9,E9)))+(IF(ISBLANK(D9),B9,D9)) &lt; 0, 0, (4*(IF(ISBLANK(E9),C9,E9)))+(IF(ISBLANK(D9),B9,D9))))</f>
        <v>4.2000000000000003E-2</v>
      </c>
      <c r="N9" s="213">
        <f>SUM(IF((5*(IF(ISBLANK(E9),C9,E9)))+(IF(ISBLANK(D9),B9,D9)) &lt; 0, 0, (5*(IF(ISBLANK(E9),C9,E9)))+(IF(ISBLANK(D9),B9,D9))))</f>
        <v>0.04</v>
      </c>
      <c r="O9" s="258">
        <f>SUM(((1+K9)*(1+K9)*(1+K9)*(1+L9)*(1+L9)*(1+L9)*(1+M9)*(1+M9)*(1+M9)*(1+N9)*(1+N9)*(1+N9))-1)</f>
        <v>0.65729463469142413</v>
      </c>
      <c r="P9" s="213">
        <f>SUM(IF((6*(IF(ISBLANK(E9),C9,E9)))+(IF(ISBLANK(D9),B9,D9)) &lt; 0, 0, (6*(IF(ISBLANK(E9),C9,E9)))+(IF(ISBLANK(D9),B9,D9))))</f>
        <v>3.8000000000000006E-2</v>
      </c>
      <c r="Q9" s="213">
        <f>SUM(IF((7*(IF(ISBLANK(E9),C9,E9)))+(IF(ISBLANK(D9),B9,D9)) &lt; 0, 0, (7*(IF(ISBLANK(E9),C9,E9)))+(IF(ISBLANK(D9),B9,D9))))</f>
        <v>3.6000000000000004E-2</v>
      </c>
      <c r="R9" s="213">
        <f>SUM(IF((8*(IF(ISBLANK(E9),C9,E9)))+(IF(ISBLANK(D9),B9,D9)) &lt; 0, 0, (8*(IF(ISBLANK(E9),C9,E9)))+(IF(ISBLANK(D9),B9,D9))))</f>
        <v>3.4000000000000002E-2</v>
      </c>
      <c r="S9" s="213">
        <f>SUM(IF((9*(IF(ISBLANK(E9),C9,E9)))+(IF(ISBLANK(D9),B9,D9)) &lt; 0, 0, (9*(IF(ISBLANK(E9),C9,E9)))+(IF(ISBLANK(D9),B9,D9))))</f>
        <v>3.2000000000000001E-2</v>
      </c>
      <c r="T9" s="296">
        <f>SUM(((1+P9)*(1+P9)*(1+P9)*(1+Q9)*(1+Q9)*(1+Q9)*(1+R9)*(1+R9)*(1+R9)*(1+S9)*(1+S9)*(1+S9))-1)</f>
        <v>0.5110263398141377</v>
      </c>
      <c r="U9" s="257">
        <f>SUM(IF((12*(IF(ISBLANK(E9),C9,E9)))+(IF(ISBLANK(D9),B9,D9)) &lt; 0, 0, (12*(IF(ISBLANK(E9),C9,E9)))+(IF(ISBLANK(D9),B9,D9))))*12</f>
        <v>0.31200000000000006</v>
      </c>
      <c r="V9" s="258">
        <f>SUM(IF((15*(IF(ISBLANK(E9),C9,E9)))+(IF(ISBLANK(D9),B9,D9)) &lt; 0, 0, (15*(IF(ISBLANK(E9),C9,E9)))+(IF(ISBLANK(D9),B9,D9))))*12</f>
        <v>0.24000000000000005</v>
      </c>
      <c r="W9" s="259">
        <f>SUM(IF((18*(IF(ISBLANK(E9),C9,E9)))+(IF(ISBLANK(D9),B9,D9)) &lt; 0, 0, (18*(IF(ISBLANK(E9),C9,E9)))+(IF(ISBLANK(D9),B9,D9))))*12</f>
        <v>0.16799999999999998</v>
      </c>
      <c r="X9" s="443"/>
      <c r="Y9" s="498">
        <v>0</v>
      </c>
      <c r="Z9" s="213">
        <f>F9</f>
        <v>0.01</v>
      </c>
      <c r="AA9" s="213">
        <f>F9</f>
        <v>0.01</v>
      </c>
      <c r="AB9" s="213">
        <f>F9</f>
        <v>0.01</v>
      </c>
      <c r="AC9" s="258">
        <f t="shared" si="51"/>
        <v>0.03</v>
      </c>
      <c r="AD9" s="214"/>
      <c r="AE9" s="213">
        <f>G9</f>
        <v>0.03</v>
      </c>
      <c r="AF9" s="213">
        <f>G9</f>
        <v>0.03</v>
      </c>
      <c r="AG9" s="213">
        <f>G9</f>
        <v>0.03</v>
      </c>
      <c r="AH9" s="258">
        <f t="shared" si="52"/>
        <v>0.09</v>
      </c>
      <c r="AI9" s="214"/>
      <c r="AJ9" s="213">
        <f>H9</f>
        <v>0.05</v>
      </c>
      <c r="AK9" s="213">
        <f>H9</f>
        <v>0.05</v>
      </c>
      <c r="AL9" s="213">
        <f>H9</f>
        <v>0.05</v>
      </c>
      <c r="AM9" s="258">
        <f t="shared" ref="AM9:AM17" si="53">SUM(AJ9:AL9)</f>
        <v>0.15000000000000002</v>
      </c>
      <c r="AN9" s="214"/>
      <c r="AO9" s="213">
        <f>I9</f>
        <v>4.8000000000000001E-2</v>
      </c>
      <c r="AP9" s="213">
        <f>I9</f>
        <v>4.8000000000000001E-2</v>
      </c>
      <c r="AQ9" s="213">
        <f>I9</f>
        <v>4.8000000000000001E-2</v>
      </c>
      <c r="AR9" s="258">
        <f t="shared" ref="AR9:AR17" si="54">SUM(AO9:AQ9)</f>
        <v>0.14400000000000002</v>
      </c>
      <c r="AS9" s="214"/>
      <c r="AT9" s="213">
        <f>K9</f>
        <v>4.5999999999999999E-2</v>
      </c>
      <c r="AU9" s="213">
        <f>K9</f>
        <v>4.5999999999999999E-2</v>
      </c>
      <c r="AV9" s="213">
        <f>K9</f>
        <v>4.5999999999999999E-2</v>
      </c>
      <c r="AW9" s="258">
        <f t="shared" ref="AW9:AW17" si="55">SUM(AT9:AV9)</f>
        <v>0.13800000000000001</v>
      </c>
      <c r="AX9" s="214"/>
      <c r="AY9" s="213">
        <f>L9</f>
        <v>4.4000000000000004E-2</v>
      </c>
      <c r="AZ9" s="213">
        <f>L9</f>
        <v>4.4000000000000004E-2</v>
      </c>
      <c r="BA9" s="213">
        <f>L9</f>
        <v>4.4000000000000004E-2</v>
      </c>
      <c r="BB9" s="258">
        <f t="shared" ref="BB9:BB17" si="56">SUM(AY9:BA9)</f>
        <v>0.13200000000000001</v>
      </c>
      <c r="BC9" s="214"/>
      <c r="BD9" s="213">
        <f>M9</f>
        <v>4.2000000000000003E-2</v>
      </c>
      <c r="BE9" s="213">
        <f>M9</f>
        <v>4.2000000000000003E-2</v>
      </c>
      <c r="BF9" s="213">
        <f>M9</f>
        <v>4.2000000000000003E-2</v>
      </c>
      <c r="BG9" s="258">
        <f t="shared" ref="BG9:BG17" si="57">SUM(BD9:BF9)</f>
        <v>0.126</v>
      </c>
      <c r="BH9" s="214"/>
      <c r="BI9" s="213">
        <f>N9</f>
        <v>0.04</v>
      </c>
      <c r="BJ9" s="213">
        <f>N9</f>
        <v>0.04</v>
      </c>
      <c r="BK9" s="213">
        <f>N9</f>
        <v>0.04</v>
      </c>
      <c r="BL9" s="258">
        <f t="shared" ref="BL9:BL15" si="58">SUM((BI9+BJ9+BK9))</f>
        <v>0.12</v>
      </c>
      <c r="BM9" s="214"/>
      <c r="BN9" s="213">
        <f>P9</f>
        <v>3.8000000000000006E-2</v>
      </c>
      <c r="BO9" s="213">
        <f>P9</f>
        <v>3.8000000000000006E-2</v>
      </c>
      <c r="BP9" s="213">
        <f>P9</f>
        <v>3.8000000000000006E-2</v>
      </c>
      <c r="BQ9" s="258">
        <f t="shared" ref="BQ9:BQ15" si="59">SUM((BN9+BO9+BP9))</f>
        <v>0.11400000000000002</v>
      </c>
      <c r="BR9" s="214"/>
      <c r="BS9" s="213">
        <f>Q9</f>
        <v>3.6000000000000004E-2</v>
      </c>
      <c r="BT9" s="213">
        <f>Q9</f>
        <v>3.6000000000000004E-2</v>
      </c>
      <c r="BU9" s="213">
        <f>Q9</f>
        <v>3.6000000000000004E-2</v>
      </c>
      <c r="BV9" s="258">
        <f t="shared" ref="BV9:BV15" si="60">SUM((BS9+BT9+BU9))</f>
        <v>0.10800000000000001</v>
      </c>
      <c r="BW9" s="214"/>
      <c r="BX9" s="213">
        <f>R9</f>
        <v>3.4000000000000002E-2</v>
      </c>
      <c r="BY9" s="213">
        <f>R9</f>
        <v>3.4000000000000002E-2</v>
      </c>
      <c r="BZ9" s="213">
        <f>R9</f>
        <v>3.4000000000000002E-2</v>
      </c>
      <c r="CA9" s="258">
        <f t="shared" ref="CA9:CA16" si="61">SUM((BX9+BY9+BZ9))</f>
        <v>0.10200000000000001</v>
      </c>
      <c r="CB9" s="214"/>
      <c r="CC9" s="213">
        <f>S9</f>
        <v>3.2000000000000001E-2</v>
      </c>
      <c r="CD9" s="213">
        <f>S9</f>
        <v>3.2000000000000001E-2</v>
      </c>
      <c r="CE9" s="213">
        <f>S9</f>
        <v>3.2000000000000001E-2</v>
      </c>
      <c r="CF9" s="258">
        <f t="shared" ref="CF9:CF16" si="62">SUM((CC9+CD9+CE9))</f>
        <v>9.6000000000000002E-2</v>
      </c>
      <c r="CG9" s="215"/>
    </row>
    <row r="10" spans="1:175" s="10" customFormat="1" ht="9.75" customHeight="1" x14ac:dyDescent="0.15">
      <c r="A10" s="482" t="s">
        <v>181</v>
      </c>
      <c r="B10" s="260">
        <v>0.06</v>
      </c>
      <c r="C10" s="293">
        <v>-5.0000000000000001E-3</v>
      </c>
      <c r="D10" s="194"/>
      <c r="E10" s="441"/>
      <c r="F10" s="118">
        <v>0</v>
      </c>
      <c r="G10" s="126">
        <v>0.02</v>
      </c>
      <c r="H10" s="112">
        <f t="shared" ref="H10:H13" si="63">SUM(IF((0*(IF(ISBLANK(E10),C10,E10)))+(IF(ISBLANK(D10),B10,D10)) &lt; 0, 0, (0*(IF(ISBLANK(E10),C10,E10)))+(IF(ISBLANK(D10),B10,D10))))</f>
        <v>0.06</v>
      </c>
      <c r="I10" s="112">
        <f t="shared" ref="I10:I13" si="64">SUM(IF((1*(IF(ISBLANK(E10),C10,E10)))+(IF(ISBLANK(D10),B10,D10)) &lt; 0, 0, (1*(IF(ISBLANK(E10),C10,E10)))+(IF(ISBLANK(D10),B10,D10))))</f>
        <v>5.5E-2</v>
      </c>
      <c r="J10" s="261">
        <f t="shared" ref="J10:J13" si="65">SUM(((1+F10)*(1+F10)*(1+F10)*(1+G10)*(1+G10)*(1+G10)*(1+H10)*(1+H10)*(1+H10)*(1+I10)*(1+I10)*(1+I10))-1)</f>
        <v>0.48414211805692831</v>
      </c>
      <c r="K10" s="112">
        <f t="shared" ref="K10:K13" si="66">SUM(IF((2*(IF(ISBLANK(E10),C10,E10)))+(IF(ISBLANK(D10),B10,D10)) &lt; 0, 0, (2*(IF(ISBLANK(E10),C10,E10)))+(IF(ISBLANK(D10),B10,D10))))</f>
        <v>4.9999999999999996E-2</v>
      </c>
      <c r="L10" s="112">
        <f t="shared" ref="L10:L13" si="67">SUM(IF((3*(IF(ISBLANK(E10),C10,E10)))+(IF(ISBLANK(D10),B10,D10)) &lt; 0, 0, (3*(IF(ISBLANK(E10),C10,E10)))+(IF(ISBLANK(D10),B10,D10))))</f>
        <v>4.4999999999999998E-2</v>
      </c>
      <c r="M10" s="112">
        <f t="shared" ref="M10:M13" si="68">SUM(IF((4*(IF(ISBLANK(E10),C10,E10)))+(IF(ISBLANK(D10),B10,D10)) &lt; 0, 0, (4*(IF(ISBLANK(E10),C10,E10)))+(IF(ISBLANK(D10),B10,D10))))</f>
        <v>3.9999999999999994E-2</v>
      </c>
      <c r="N10" s="112">
        <f t="shared" ref="N10:N13" si="69">SUM(IF((5*(IF(ISBLANK(E10),C10,E10)))+(IF(ISBLANK(D10),B10,D10)) &lt; 0, 0, (5*(IF(ISBLANK(E10),C10,E10)))+(IF(ISBLANK(D10),B10,D10))))</f>
        <v>3.4999999999999996E-2</v>
      </c>
      <c r="O10" s="261">
        <f t="shared" ref="O10:O15" si="70">SUM(((1+K10)*(1+K10)*(1+K10)*(1+L10)*(1+L10)*(1+L10)*(1+M10)*(1+M10)*(1+M10)*(1+N10)*(1+N10)*(1+N10))-1)</f>
        <v>0.64754708783075721</v>
      </c>
      <c r="P10" s="112">
        <f t="shared" ref="P10:P13" si="71">SUM(IF((6*(IF(ISBLANK(E10),C10,E10)))+(IF(ISBLANK(D10),B10,D10)) &lt; 0, 0, (6*(IF(ISBLANK(E10),C10,E10)))+(IF(ISBLANK(D10),B10,D10))))</f>
        <v>0.03</v>
      </c>
      <c r="Q10" s="112">
        <f t="shared" ref="Q10:Q13" si="72">SUM(IF((7*(IF(ISBLANK(E10),C10,E10)))+(IF(ISBLANK(D10),B10,D10)) &lt; 0, 0, (7*(IF(ISBLANK(E10),C10,E10)))+(IF(ISBLANK(D10),B10,D10))))</f>
        <v>2.4999999999999994E-2</v>
      </c>
      <c r="R10" s="112">
        <f t="shared" ref="R10:R13" si="73">SUM(IF((8*(IF(ISBLANK(E10),C10,E10)))+(IF(ISBLANK(D10),B10,D10)) &lt; 0, 0, (8*(IF(ISBLANK(E10),C10,E10)))+(IF(ISBLANK(D10),B10,D10))))</f>
        <v>1.9999999999999997E-2</v>
      </c>
      <c r="S10" s="112">
        <f t="shared" ref="S10:S13" si="74">SUM(IF((9*(IF(ISBLANK(E10),C10,E10)))+(IF(ISBLANK(D10),B10,D10)) &lt; 0, 0, (9*(IF(ISBLANK(E10),C10,E10)))+(IF(ISBLANK(D10),B10,D10))))</f>
        <v>1.4999999999999999E-2</v>
      </c>
      <c r="T10" s="293">
        <f t="shared" ref="T10:T15" si="75">SUM(((1+P10)*(1+P10)*(1+P10)*(1+Q10)*(1+Q10)*(1+Q10)*(1+R10)*(1+R10)*(1+R10)*(1+S10)*(1+S10)*(1+S10))-1)</f>
        <v>0.30581577950677752</v>
      </c>
      <c r="U10" s="260">
        <f t="shared" ref="U10:U13" si="76">SUM(IF((12*(IF(ISBLANK(E10),C10,E10)))+(IF(ISBLANK(D10),B10,D10)) &lt; 0, 0, (12*(IF(ISBLANK(E10),C10,E10)))+(IF(ISBLANK(D10),B10,D10))))*12</f>
        <v>0</v>
      </c>
      <c r="V10" s="261">
        <f t="shared" ref="V10:V13" si="77">SUM(IF((15*(IF(ISBLANK(E10),C10,E10)))+(IF(ISBLANK(D10),B10,D10)) &lt; 0, 0, (15*(IF(ISBLANK(E10),C10,E10)))+(IF(ISBLANK(D10),B10,D10))))*12</f>
        <v>0</v>
      </c>
      <c r="W10" s="262">
        <f t="shared" ref="W10:W13" si="78">SUM(IF((18*(IF(ISBLANK(E10),C10,E10)))+(IF(ISBLANK(D10),B10,D10)) &lt; 0, 0, (18*(IF(ISBLANK(E10),C10,E10)))+(IF(ISBLANK(D10),B10,D10))))*12</f>
        <v>0</v>
      </c>
      <c r="X10" s="444"/>
      <c r="Y10" s="499">
        <v>0</v>
      </c>
      <c r="Z10" s="112">
        <f t="shared" ref="Z10:Z13" si="79">F10</f>
        <v>0</v>
      </c>
      <c r="AA10" s="112">
        <f t="shared" ref="AA10:AA13" si="80">F10</f>
        <v>0</v>
      </c>
      <c r="AB10" s="112">
        <f t="shared" ref="AB10:AB13" si="81">F10</f>
        <v>0</v>
      </c>
      <c r="AC10" s="261">
        <f t="shared" si="51"/>
        <v>0</v>
      </c>
      <c r="AD10" s="114"/>
      <c r="AE10" s="112">
        <f t="shared" ref="AE10:AE13" si="82">G10</f>
        <v>0.02</v>
      </c>
      <c r="AF10" s="112">
        <f t="shared" ref="AF10:AF13" si="83">G10</f>
        <v>0.02</v>
      </c>
      <c r="AG10" s="112">
        <f t="shared" ref="AG10:AG13" si="84">G10</f>
        <v>0.02</v>
      </c>
      <c r="AH10" s="261">
        <f t="shared" si="52"/>
        <v>0.06</v>
      </c>
      <c r="AI10" s="114"/>
      <c r="AJ10" s="112">
        <f t="shared" ref="AJ10:AJ13" si="85">H10</f>
        <v>0.06</v>
      </c>
      <c r="AK10" s="112">
        <f t="shared" ref="AK10:AK13" si="86">H10</f>
        <v>0.06</v>
      </c>
      <c r="AL10" s="112">
        <f t="shared" ref="AL10:AL13" si="87">H10</f>
        <v>0.06</v>
      </c>
      <c r="AM10" s="261">
        <f t="shared" si="53"/>
        <v>0.18</v>
      </c>
      <c r="AN10" s="114"/>
      <c r="AO10" s="112">
        <f t="shared" ref="AO10:AO13" si="88">I10</f>
        <v>5.5E-2</v>
      </c>
      <c r="AP10" s="112">
        <f t="shared" ref="AP10:AP13" si="89">I10</f>
        <v>5.5E-2</v>
      </c>
      <c r="AQ10" s="112">
        <f t="shared" ref="AQ10:AQ13" si="90">I10</f>
        <v>5.5E-2</v>
      </c>
      <c r="AR10" s="261">
        <f t="shared" si="54"/>
        <v>0.16500000000000001</v>
      </c>
      <c r="AS10" s="114"/>
      <c r="AT10" s="112">
        <f t="shared" ref="AT10:AT13" si="91">K10</f>
        <v>4.9999999999999996E-2</v>
      </c>
      <c r="AU10" s="112">
        <f t="shared" ref="AU10:AU13" si="92">K10</f>
        <v>4.9999999999999996E-2</v>
      </c>
      <c r="AV10" s="112">
        <f t="shared" ref="AV10:AV13" si="93">K10</f>
        <v>4.9999999999999996E-2</v>
      </c>
      <c r="AW10" s="261">
        <f t="shared" si="55"/>
        <v>0.15</v>
      </c>
      <c r="AX10" s="114"/>
      <c r="AY10" s="112">
        <f t="shared" ref="AY10:AY13" si="94">L10</f>
        <v>4.4999999999999998E-2</v>
      </c>
      <c r="AZ10" s="112">
        <f t="shared" ref="AZ10:AZ13" si="95">L10</f>
        <v>4.4999999999999998E-2</v>
      </c>
      <c r="BA10" s="112">
        <f t="shared" ref="BA10:BA13" si="96">L10</f>
        <v>4.4999999999999998E-2</v>
      </c>
      <c r="BB10" s="261">
        <f t="shared" si="56"/>
        <v>0.13500000000000001</v>
      </c>
      <c r="BC10" s="114"/>
      <c r="BD10" s="112">
        <f t="shared" ref="BD10:BD13" si="97">M10</f>
        <v>3.9999999999999994E-2</v>
      </c>
      <c r="BE10" s="112">
        <f t="shared" ref="BE10:BE13" si="98">M10</f>
        <v>3.9999999999999994E-2</v>
      </c>
      <c r="BF10" s="112">
        <f t="shared" ref="BF10:BF13" si="99">M10</f>
        <v>3.9999999999999994E-2</v>
      </c>
      <c r="BG10" s="261">
        <f t="shared" si="57"/>
        <v>0.11999999999999998</v>
      </c>
      <c r="BH10" s="114"/>
      <c r="BI10" s="112">
        <f t="shared" ref="BI10:BI13" si="100">N10</f>
        <v>3.4999999999999996E-2</v>
      </c>
      <c r="BJ10" s="112">
        <f t="shared" ref="BJ10:BJ13" si="101">N10</f>
        <v>3.4999999999999996E-2</v>
      </c>
      <c r="BK10" s="112">
        <f t="shared" ref="BK10:BK13" si="102">N10</f>
        <v>3.4999999999999996E-2</v>
      </c>
      <c r="BL10" s="261">
        <f t="shared" si="58"/>
        <v>0.10499999999999998</v>
      </c>
      <c r="BM10" s="114"/>
      <c r="BN10" s="112">
        <f t="shared" ref="BN10:BN13" si="103">P10</f>
        <v>0.03</v>
      </c>
      <c r="BO10" s="112">
        <f t="shared" ref="BO10:BO13" si="104">P10</f>
        <v>0.03</v>
      </c>
      <c r="BP10" s="112">
        <f t="shared" ref="BP10:BP13" si="105">P10</f>
        <v>0.03</v>
      </c>
      <c r="BQ10" s="261">
        <f t="shared" si="59"/>
        <v>0.09</v>
      </c>
      <c r="BR10" s="114"/>
      <c r="BS10" s="112">
        <f t="shared" ref="BS10:BS13" si="106">Q10</f>
        <v>2.4999999999999994E-2</v>
      </c>
      <c r="BT10" s="112">
        <f t="shared" ref="BT10:BT13" si="107">Q10</f>
        <v>2.4999999999999994E-2</v>
      </c>
      <c r="BU10" s="112">
        <f t="shared" ref="BU10:BU13" si="108">Q10</f>
        <v>2.4999999999999994E-2</v>
      </c>
      <c r="BV10" s="261">
        <f t="shared" si="60"/>
        <v>7.4999999999999983E-2</v>
      </c>
      <c r="BW10" s="114"/>
      <c r="BX10" s="112">
        <f t="shared" ref="BX10:BX13" si="109">R10</f>
        <v>1.9999999999999997E-2</v>
      </c>
      <c r="BY10" s="112">
        <f t="shared" ref="BY10:BY13" si="110">R10</f>
        <v>1.9999999999999997E-2</v>
      </c>
      <c r="BZ10" s="112">
        <f t="shared" ref="BZ10:BZ13" si="111">R10</f>
        <v>1.9999999999999997E-2</v>
      </c>
      <c r="CA10" s="261">
        <f t="shared" si="61"/>
        <v>5.9999999999999991E-2</v>
      </c>
      <c r="CB10" s="114"/>
      <c r="CC10" s="112">
        <f t="shared" ref="CC10:CC13" si="112">S10</f>
        <v>1.4999999999999999E-2</v>
      </c>
      <c r="CD10" s="112">
        <f t="shared" ref="CD10:CD13" si="113">S10</f>
        <v>1.4999999999999999E-2</v>
      </c>
      <c r="CE10" s="112">
        <f t="shared" ref="CE10:CE13" si="114">S10</f>
        <v>1.4999999999999999E-2</v>
      </c>
      <c r="CF10" s="261">
        <f t="shared" si="62"/>
        <v>4.4999999999999998E-2</v>
      </c>
      <c r="CG10" s="113"/>
    </row>
    <row r="11" spans="1:175" s="10" customFormat="1" ht="9.75" customHeight="1" x14ac:dyDescent="0.15">
      <c r="A11" s="482" t="s">
        <v>183</v>
      </c>
      <c r="B11" s="260">
        <v>0.06</v>
      </c>
      <c r="C11" s="293">
        <v>-2E-3</v>
      </c>
      <c r="D11" s="194"/>
      <c r="E11" s="441"/>
      <c r="F11" s="118">
        <v>0</v>
      </c>
      <c r="G11" s="126">
        <v>0.02</v>
      </c>
      <c r="H11" s="112">
        <f t="shared" si="63"/>
        <v>0.06</v>
      </c>
      <c r="I11" s="112">
        <f t="shared" si="64"/>
        <v>5.7999999999999996E-2</v>
      </c>
      <c r="J11" s="261">
        <f t="shared" si="65"/>
        <v>0.496839082842915</v>
      </c>
      <c r="K11" s="112">
        <f t="shared" si="66"/>
        <v>5.5999999999999994E-2</v>
      </c>
      <c r="L11" s="112">
        <f t="shared" si="67"/>
        <v>5.3999999999999999E-2</v>
      </c>
      <c r="M11" s="112">
        <f t="shared" si="68"/>
        <v>5.1999999999999998E-2</v>
      </c>
      <c r="N11" s="112">
        <f t="shared" si="69"/>
        <v>4.9999999999999996E-2</v>
      </c>
      <c r="O11" s="261">
        <f t="shared" si="70"/>
        <v>0.85835510009405391</v>
      </c>
      <c r="P11" s="112">
        <f t="shared" si="71"/>
        <v>4.8000000000000001E-2</v>
      </c>
      <c r="Q11" s="112">
        <f t="shared" si="72"/>
        <v>4.5999999999999999E-2</v>
      </c>
      <c r="R11" s="112">
        <f t="shared" si="73"/>
        <v>4.3999999999999997E-2</v>
      </c>
      <c r="S11" s="112">
        <f t="shared" si="74"/>
        <v>4.1999999999999996E-2</v>
      </c>
      <c r="T11" s="293">
        <f t="shared" si="75"/>
        <v>0.69583484415024044</v>
      </c>
      <c r="U11" s="260">
        <f t="shared" si="76"/>
        <v>0.43199999999999994</v>
      </c>
      <c r="V11" s="261">
        <f t="shared" si="77"/>
        <v>0.36</v>
      </c>
      <c r="W11" s="262">
        <f t="shared" si="78"/>
        <v>0.28799999999999992</v>
      </c>
      <c r="X11" s="444"/>
      <c r="Y11" s="499">
        <v>0</v>
      </c>
      <c r="Z11" s="112">
        <f t="shared" si="79"/>
        <v>0</v>
      </c>
      <c r="AA11" s="112">
        <f t="shared" si="80"/>
        <v>0</v>
      </c>
      <c r="AB11" s="112">
        <f t="shared" si="81"/>
        <v>0</v>
      </c>
      <c r="AC11" s="261">
        <f t="shared" si="51"/>
        <v>0</v>
      </c>
      <c r="AD11" s="114"/>
      <c r="AE11" s="112">
        <f t="shared" si="82"/>
        <v>0.02</v>
      </c>
      <c r="AF11" s="112">
        <f t="shared" si="83"/>
        <v>0.02</v>
      </c>
      <c r="AG11" s="112">
        <f t="shared" si="84"/>
        <v>0.02</v>
      </c>
      <c r="AH11" s="261">
        <f t="shared" si="52"/>
        <v>0.06</v>
      </c>
      <c r="AI11" s="114"/>
      <c r="AJ11" s="112">
        <f t="shared" si="85"/>
        <v>0.06</v>
      </c>
      <c r="AK11" s="112">
        <f t="shared" si="86"/>
        <v>0.06</v>
      </c>
      <c r="AL11" s="112">
        <f t="shared" si="87"/>
        <v>0.06</v>
      </c>
      <c r="AM11" s="261">
        <f t="shared" si="53"/>
        <v>0.18</v>
      </c>
      <c r="AN11" s="114"/>
      <c r="AO11" s="112">
        <f t="shared" si="88"/>
        <v>5.7999999999999996E-2</v>
      </c>
      <c r="AP11" s="112">
        <f t="shared" si="89"/>
        <v>5.7999999999999996E-2</v>
      </c>
      <c r="AQ11" s="112">
        <f t="shared" si="90"/>
        <v>5.7999999999999996E-2</v>
      </c>
      <c r="AR11" s="261">
        <f t="shared" si="54"/>
        <v>0.17399999999999999</v>
      </c>
      <c r="AS11" s="114"/>
      <c r="AT11" s="112">
        <f t="shared" si="91"/>
        <v>5.5999999999999994E-2</v>
      </c>
      <c r="AU11" s="112">
        <f t="shared" si="92"/>
        <v>5.5999999999999994E-2</v>
      </c>
      <c r="AV11" s="112">
        <f t="shared" si="93"/>
        <v>5.5999999999999994E-2</v>
      </c>
      <c r="AW11" s="261">
        <f t="shared" si="55"/>
        <v>0.16799999999999998</v>
      </c>
      <c r="AX11" s="114"/>
      <c r="AY11" s="112">
        <f t="shared" si="94"/>
        <v>5.3999999999999999E-2</v>
      </c>
      <c r="AZ11" s="112">
        <f t="shared" si="95"/>
        <v>5.3999999999999999E-2</v>
      </c>
      <c r="BA11" s="112">
        <f t="shared" si="96"/>
        <v>5.3999999999999999E-2</v>
      </c>
      <c r="BB11" s="261">
        <f t="shared" si="56"/>
        <v>0.16200000000000001</v>
      </c>
      <c r="BC11" s="114"/>
      <c r="BD11" s="112">
        <f t="shared" si="97"/>
        <v>5.1999999999999998E-2</v>
      </c>
      <c r="BE11" s="112">
        <f t="shared" si="98"/>
        <v>5.1999999999999998E-2</v>
      </c>
      <c r="BF11" s="112">
        <f t="shared" si="99"/>
        <v>5.1999999999999998E-2</v>
      </c>
      <c r="BG11" s="261">
        <f t="shared" si="57"/>
        <v>0.156</v>
      </c>
      <c r="BH11" s="114"/>
      <c r="BI11" s="112">
        <f t="shared" si="100"/>
        <v>4.9999999999999996E-2</v>
      </c>
      <c r="BJ11" s="112">
        <f t="shared" si="101"/>
        <v>4.9999999999999996E-2</v>
      </c>
      <c r="BK11" s="112">
        <f t="shared" si="102"/>
        <v>4.9999999999999996E-2</v>
      </c>
      <c r="BL11" s="261">
        <f t="shared" si="58"/>
        <v>0.15</v>
      </c>
      <c r="BM11" s="114"/>
      <c r="BN11" s="112">
        <f t="shared" si="103"/>
        <v>4.8000000000000001E-2</v>
      </c>
      <c r="BO11" s="112">
        <f t="shared" si="104"/>
        <v>4.8000000000000001E-2</v>
      </c>
      <c r="BP11" s="112">
        <f t="shared" si="105"/>
        <v>4.8000000000000001E-2</v>
      </c>
      <c r="BQ11" s="261">
        <f t="shared" si="59"/>
        <v>0.14400000000000002</v>
      </c>
      <c r="BR11" s="114"/>
      <c r="BS11" s="112">
        <f t="shared" si="106"/>
        <v>4.5999999999999999E-2</v>
      </c>
      <c r="BT11" s="112">
        <f t="shared" si="107"/>
        <v>4.5999999999999999E-2</v>
      </c>
      <c r="BU11" s="112">
        <f t="shared" si="108"/>
        <v>4.5999999999999999E-2</v>
      </c>
      <c r="BV11" s="261">
        <f t="shared" si="60"/>
        <v>0.13800000000000001</v>
      </c>
      <c r="BW11" s="114"/>
      <c r="BX11" s="112">
        <f t="shared" si="109"/>
        <v>4.3999999999999997E-2</v>
      </c>
      <c r="BY11" s="112">
        <f t="shared" si="110"/>
        <v>4.3999999999999997E-2</v>
      </c>
      <c r="BZ11" s="112">
        <f t="shared" si="111"/>
        <v>4.3999999999999997E-2</v>
      </c>
      <c r="CA11" s="261">
        <f t="shared" si="61"/>
        <v>0.13200000000000001</v>
      </c>
      <c r="CB11" s="114"/>
      <c r="CC11" s="112">
        <f t="shared" si="112"/>
        <v>4.1999999999999996E-2</v>
      </c>
      <c r="CD11" s="112">
        <f t="shared" si="113"/>
        <v>4.1999999999999996E-2</v>
      </c>
      <c r="CE11" s="112">
        <f t="shared" si="114"/>
        <v>4.1999999999999996E-2</v>
      </c>
      <c r="CF11" s="261">
        <f t="shared" si="62"/>
        <v>0.126</v>
      </c>
      <c r="CG11" s="113"/>
    </row>
    <row r="12" spans="1:175" s="10" customFormat="1" ht="9.75" customHeight="1" x14ac:dyDescent="0.15">
      <c r="A12" s="482" t="s">
        <v>182</v>
      </c>
      <c r="B12" s="260">
        <v>0.06</v>
      </c>
      <c r="C12" s="293">
        <v>-1.7999999999999999E-2</v>
      </c>
      <c r="D12" s="194"/>
      <c r="E12" s="441"/>
      <c r="F12" s="118">
        <v>0</v>
      </c>
      <c r="G12" s="126">
        <v>0.05</v>
      </c>
      <c r="H12" s="112">
        <f t="shared" si="63"/>
        <v>0.06</v>
      </c>
      <c r="I12" s="112">
        <f t="shared" si="64"/>
        <v>4.1999999999999996E-2</v>
      </c>
      <c r="J12" s="261">
        <f t="shared" si="65"/>
        <v>0.55987087729929375</v>
      </c>
      <c r="K12" s="112">
        <f t="shared" si="66"/>
        <v>2.4E-2</v>
      </c>
      <c r="L12" s="112">
        <f t="shared" si="67"/>
        <v>6.0000000000000053E-3</v>
      </c>
      <c r="M12" s="112">
        <f t="shared" si="68"/>
        <v>0</v>
      </c>
      <c r="N12" s="112">
        <f t="shared" si="69"/>
        <v>0</v>
      </c>
      <c r="O12" s="261">
        <f t="shared" si="70"/>
        <v>9.3185372877226058E-2</v>
      </c>
      <c r="P12" s="112">
        <f t="shared" si="71"/>
        <v>0</v>
      </c>
      <c r="Q12" s="112">
        <f t="shared" si="72"/>
        <v>0</v>
      </c>
      <c r="R12" s="112">
        <f t="shared" si="73"/>
        <v>0</v>
      </c>
      <c r="S12" s="112">
        <f t="shared" si="74"/>
        <v>0</v>
      </c>
      <c r="T12" s="293">
        <f t="shared" si="75"/>
        <v>0</v>
      </c>
      <c r="U12" s="260">
        <f t="shared" si="76"/>
        <v>0</v>
      </c>
      <c r="V12" s="261">
        <f t="shared" si="77"/>
        <v>0</v>
      </c>
      <c r="W12" s="262">
        <f t="shared" si="78"/>
        <v>0</v>
      </c>
      <c r="X12" s="444"/>
      <c r="Y12" s="499">
        <v>0</v>
      </c>
      <c r="Z12" s="112">
        <f t="shared" si="79"/>
        <v>0</v>
      </c>
      <c r="AA12" s="112">
        <f t="shared" si="80"/>
        <v>0</v>
      </c>
      <c r="AB12" s="112">
        <f t="shared" si="81"/>
        <v>0</v>
      </c>
      <c r="AC12" s="261">
        <f t="shared" si="51"/>
        <v>0</v>
      </c>
      <c r="AD12" s="114"/>
      <c r="AE12" s="112">
        <f t="shared" si="82"/>
        <v>0.05</v>
      </c>
      <c r="AF12" s="112">
        <f t="shared" si="83"/>
        <v>0.05</v>
      </c>
      <c r="AG12" s="112">
        <f t="shared" si="84"/>
        <v>0.05</v>
      </c>
      <c r="AH12" s="261">
        <f t="shared" si="52"/>
        <v>0.15000000000000002</v>
      </c>
      <c r="AI12" s="114"/>
      <c r="AJ12" s="112">
        <f t="shared" si="85"/>
        <v>0.06</v>
      </c>
      <c r="AK12" s="112">
        <f t="shared" si="86"/>
        <v>0.06</v>
      </c>
      <c r="AL12" s="112">
        <f t="shared" si="87"/>
        <v>0.06</v>
      </c>
      <c r="AM12" s="261">
        <f t="shared" si="53"/>
        <v>0.18</v>
      </c>
      <c r="AN12" s="114"/>
      <c r="AO12" s="112">
        <f t="shared" si="88"/>
        <v>4.1999999999999996E-2</v>
      </c>
      <c r="AP12" s="112">
        <f t="shared" si="89"/>
        <v>4.1999999999999996E-2</v>
      </c>
      <c r="AQ12" s="112">
        <f t="shared" si="90"/>
        <v>4.1999999999999996E-2</v>
      </c>
      <c r="AR12" s="261">
        <f t="shared" si="54"/>
        <v>0.126</v>
      </c>
      <c r="AS12" s="114"/>
      <c r="AT12" s="112">
        <f t="shared" si="91"/>
        <v>2.4E-2</v>
      </c>
      <c r="AU12" s="112">
        <f t="shared" si="92"/>
        <v>2.4E-2</v>
      </c>
      <c r="AV12" s="112">
        <f t="shared" si="93"/>
        <v>2.4E-2</v>
      </c>
      <c r="AW12" s="261">
        <f t="shared" si="55"/>
        <v>7.2000000000000008E-2</v>
      </c>
      <c r="AX12" s="114"/>
      <c r="AY12" s="112">
        <f t="shared" si="94"/>
        <v>6.0000000000000053E-3</v>
      </c>
      <c r="AZ12" s="112">
        <f t="shared" si="95"/>
        <v>6.0000000000000053E-3</v>
      </c>
      <c r="BA12" s="112">
        <f t="shared" si="96"/>
        <v>6.0000000000000053E-3</v>
      </c>
      <c r="BB12" s="261">
        <f t="shared" si="56"/>
        <v>1.8000000000000016E-2</v>
      </c>
      <c r="BC12" s="114"/>
      <c r="BD12" s="112">
        <f t="shared" si="97"/>
        <v>0</v>
      </c>
      <c r="BE12" s="112">
        <f t="shared" si="98"/>
        <v>0</v>
      </c>
      <c r="BF12" s="112">
        <f t="shared" si="99"/>
        <v>0</v>
      </c>
      <c r="BG12" s="261">
        <f t="shared" si="57"/>
        <v>0</v>
      </c>
      <c r="BH12" s="114"/>
      <c r="BI12" s="112">
        <f t="shared" si="100"/>
        <v>0</v>
      </c>
      <c r="BJ12" s="112">
        <f t="shared" si="101"/>
        <v>0</v>
      </c>
      <c r="BK12" s="112">
        <f t="shared" si="102"/>
        <v>0</v>
      </c>
      <c r="BL12" s="261">
        <f t="shared" si="58"/>
        <v>0</v>
      </c>
      <c r="BM12" s="114"/>
      <c r="BN12" s="112">
        <f t="shared" si="103"/>
        <v>0</v>
      </c>
      <c r="BO12" s="112">
        <f t="shared" si="104"/>
        <v>0</v>
      </c>
      <c r="BP12" s="112">
        <f t="shared" si="105"/>
        <v>0</v>
      </c>
      <c r="BQ12" s="261">
        <f t="shared" si="59"/>
        <v>0</v>
      </c>
      <c r="BR12" s="114"/>
      <c r="BS12" s="112">
        <f t="shared" si="106"/>
        <v>0</v>
      </c>
      <c r="BT12" s="112">
        <f t="shared" si="107"/>
        <v>0</v>
      </c>
      <c r="BU12" s="112">
        <f t="shared" si="108"/>
        <v>0</v>
      </c>
      <c r="BV12" s="261">
        <f t="shared" si="60"/>
        <v>0</v>
      </c>
      <c r="BW12" s="114"/>
      <c r="BX12" s="112">
        <f t="shared" si="109"/>
        <v>0</v>
      </c>
      <c r="BY12" s="112">
        <f t="shared" si="110"/>
        <v>0</v>
      </c>
      <c r="BZ12" s="112">
        <f t="shared" si="111"/>
        <v>0</v>
      </c>
      <c r="CA12" s="261">
        <f t="shared" si="61"/>
        <v>0</v>
      </c>
      <c r="CB12" s="114"/>
      <c r="CC12" s="112">
        <f t="shared" si="112"/>
        <v>0</v>
      </c>
      <c r="CD12" s="112">
        <f t="shared" si="113"/>
        <v>0</v>
      </c>
      <c r="CE12" s="112">
        <f t="shared" si="114"/>
        <v>0</v>
      </c>
      <c r="CF12" s="261">
        <f t="shared" si="62"/>
        <v>0</v>
      </c>
      <c r="CG12" s="113"/>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row>
    <row r="13" spans="1:175" s="10" customFormat="1" ht="9.75" customHeight="1" thickBot="1" x14ac:dyDescent="0.2">
      <c r="A13" s="483" t="s">
        <v>184</v>
      </c>
      <c r="B13" s="263">
        <v>0.04</v>
      </c>
      <c r="C13" s="297">
        <v>-1.4999999999999999E-2</v>
      </c>
      <c r="D13" s="244"/>
      <c r="E13" s="442"/>
      <c r="F13" s="447">
        <v>0</v>
      </c>
      <c r="G13" s="245">
        <v>0</v>
      </c>
      <c r="H13" s="217">
        <f t="shared" si="63"/>
        <v>0.04</v>
      </c>
      <c r="I13" s="217">
        <f t="shared" si="64"/>
        <v>2.5000000000000001E-2</v>
      </c>
      <c r="J13" s="264">
        <f t="shared" si="65"/>
        <v>0.2113554959999997</v>
      </c>
      <c r="K13" s="217">
        <f t="shared" si="66"/>
        <v>1.0000000000000002E-2</v>
      </c>
      <c r="L13" s="217">
        <f t="shared" si="67"/>
        <v>0</v>
      </c>
      <c r="M13" s="217">
        <f t="shared" si="68"/>
        <v>0</v>
      </c>
      <c r="N13" s="217">
        <f t="shared" si="69"/>
        <v>0</v>
      </c>
      <c r="O13" s="264">
        <f t="shared" si="70"/>
        <v>3.0300999999999911E-2</v>
      </c>
      <c r="P13" s="217">
        <f t="shared" si="71"/>
        <v>0</v>
      </c>
      <c r="Q13" s="217">
        <f t="shared" si="72"/>
        <v>0</v>
      </c>
      <c r="R13" s="217">
        <f t="shared" si="73"/>
        <v>0</v>
      </c>
      <c r="S13" s="217">
        <f t="shared" si="74"/>
        <v>0</v>
      </c>
      <c r="T13" s="297">
        <f t="shared" si="75"/>
        <v>0</v>
      </c>
      <c r="U13" s="263">
        <f t="shared" si="76"/>
        <v>0</v>
      </c>
      <c r="V13" s="264">
        <f t="shared" si="77"/>
        <v>0</v>
      </c>
      <c r="W13" s="265">
        <f t="shared" si="78"/>
        <v>0</v>
      </c>
      <c r="X13" s="445"/>
      <c r="Y13" s="500">
        <v>0</v>
      </c>
      <c r="Z13" s="217">
        <f t="shared" si="79"/>
        <v>0</v>
      </c>
      <c r="AA13" s="217">
        <f t="shared" si="80"/>
        <v>0</v>
      </c>
      <c r="AB13" s="217">
        <f t="shared" si="81"/>
        <v>0</v>
      </c>
      <c r="AC13" s="264">
        <f t="shared" si="51"/>
        <v>0</v>
      </c>
      <c r="AD13" s="218"/>
      <c r="AE13" s="217">
        <f t="shared" si="82"/>
        <v>0</v>
      </c>
      <c r="AF13" s="217">
        <f t="shared" si="83"/>
        <v>0</v>
      </c>
      <c r="AG13" s="217">
        <f t="shared" si="84"/>
        <v>0</v>
      </c>
      <c r="AH13" s="264">
        <f t="shared" si="52"/>
        <v>0</v>
      </c>
      <c r="AI13" s="218"/>
      <c r="AJ13" s="217">
        <f t="shared" si="85"/>
        <v>0.04</v>
      </c>
      <c r="AK13" s="217">
        <f t="shared" si="86"/>
        <v>0.04</v>
      </c>
      <c r="AL13" s="217">
        <f t="shared" si="87"/>
        <v>0.04</v>
      </c>
      <c r="AM13" s="264">
        <f t="shared" si="53"/>
        <v>0.12</v>
      </c>
      <c r="AN13" s="218"/>
      <c r="AO13" s="217">
        <f t="shared" si="88"/>
        <v>2.5000000000000001E-2</v>
      </c>
      <c r="AP13" s="217">
        <f t="shared" si="89"/>
        <v>2.5000000000000001E-2</v>
      </c>
      <c r="AQ13" s="217">
        <f t="shared" si="90"/>
        <v>2.5000000000000001E-2</v>
      </c>
      <c r="AR13" s="264">
        <f t="shared" si="54"/>
        <v>7.5000000000000011E-2</v>
      </c>
      <c r="AS13" s="218"/>
      <c r="AT13" s="217">
        <f t="shared" si="91"/>
        <v>1.0000000000000002E-2</v>
      </c>
      <c r="AU13" s="217">
        <f t="shared" si="92"/>
        <v>1.0000000000000002E-2</v>
      </c>
      <c r="AV13" s="217">
        <f t="shared" si="93"/>
        <v>1.0000000000000002E-2</v>
      </c>
      <c r="AW13" s="264">
        <f t="shared" si="55"/>
        <v>3.0000000000000006E-2</v>
      </c>
      <c r="AX13" s="218"/>
      <c r="AY13" s="217">
        <f t="shared" si="94"/>
        <v>0</v>
      </c>
      <c r="AZ13" s="217">
        <f t="shared" si="95"/>
        <v>0</v>
      </c>
      <c r="BA13" s="217">
        <f t="shared" si="96"/>
        <v>0</v>
      </c>
      <c r="BB13" s="264">
        <f t="shared" si="56"/>
        <v>0</v>
      </c>
      <c r="BC13" s="218"/>
      <c r="BD13" s="217">
        <f t="shared" si="97"/>
        <v>0</v>
      </c>
      <c r="BE13" s="217">
        <f t="shared" si="98"/>
        <v>0</v>
      </c>
      <c r="BF13" s="217">
        <f t="shared" si="99"/>
        <v>0</v>
      </c>
      <c r="BG13" s="264">
        <f t="shared" si="57"/>
        <v>0</v>
      </c>
      <c r="BH13" s="218"/>
      <c r="BI13" s="217">
        <f t="shared" si="100"/>
        <v>0</v>
      </c>
      <c r="BJ13" s="217">
        <f t="shared" si="101"/>
        <v>0</v>
      </c>
      <c r="BK13" s="217">
        <f t="shared" si="102"/>
        <v>0</v>
      </c>
      <c r="BL13" s="264">
        <f t="shared" si="58"/>
        <v>0</v>
      </c>
      <c r="BM13" s="218"/>
      <c r="BN13" s="217">
        <f t="shared" si="103"/>
        <v>0</v>
      </c>
      <c r="BO13" s="217">
        <f t="shared" si="104"/>
        <v>0</v>
      </c>
      <c r="BP13" s="217">
        <f t="shared" si="105"/>
        <v>0</v>
      </c>
      <c r="BQ13" s="264">
        <f t="shared" si="59"/>
        <v>0</v>
      </c>
      <c r="BR13" s="218"/>
      <c r="BS13" s="217">
        <f t="shared" si="106"/>
        <v>0</v>
      </c>
      <c r="BT13" s="217">
        <f t="shared" si="107"/>
        <v>0</v>
      </c>
      <c r="BU13" s="217">
        <f t="shared" si="108"/>
        <v>0</v>
      </c>
      <c r="BV13" s="264">
        <f t="shared" si="60"/>
        <v>0</v>
      </c>
      <c r="BW13" s="218"/>
      <c r="BX13" s="217">
        <f t="shared" si="109"/>
        <v>0</v>
      </c>
      <c r="BY13" s="217">
        <f t="shared" si="110"/>
        <v>0</v>
      </c>
      <c r="BZ13" s="217">
        <f t="shared" si="111"/>
        <v>0</v>
      </c>
      <c r="CA13" s="264">
        <f t="shared" si="61"/>
        <v>0</v>
      </c>
      <c r="CB13" s="218"/>
      <c r="CC13" s="217">
        <f t="shared" si="112"/>
        <v>0</v>
      </c>
      <c r="CD13" s="217">
        <f t="shared" si="113"/>
        <v>0</v>
      </c>
      <c r="CE13" s="217">
        <f t="shared" si="114"/>
        <v>0</v>
      </c>
      <c r="CF13" s="264">
        <f t="shared" si="62"/>
        <v>0</v>
      </c>
      <c r="CG13" s="219"/>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row>
    <row r="14" spans="1:175" s="10" customFormat="1" ht="9.75" customHeight="1" x14ac:dyDescent="0.15">
      <c r="A14" s="237" t="s">
        <v>185</v>
      </c>
      <c r="B14" s="298">
        <v>5000000</v>
      </c>
      <c r="C14" s="299">
        <v>300000000</v>
      </c>
      <c r="D14" s="238"/>
      <c r="E14" s="239"/>
      <c r="F14" s="240">
        <f>SUM(IF(((1-(Y18/(IF(ISBLANK(D14),B14,(IF(D14=0,9.99999999999999E+29,D14))))))*SUM(F9:F13))&lt;0,0,((1-(Y18/(IF(ISBLANK(D14),B14,(IF(D14=0,9.99999999999999E+29,D14))))))*SUM(F9:F13))))</f>
        <v>9.9970000000000007E-3</v>
      </c>
      <c r="G14" s="241">
        <f>SUM(IF(((1-(F18/(IF(ISBLANK(D14),B14,(IF(D14=0,9.99999999999999E+29,D14))))))*SUM(G9:G13))&lt;0,0,((1-(F18/(IF(ISBLANK(D14),B14,(IF(D14=0,9.99999999999999E+29,D14))))))*SUM(G9:G13))))</f>
        <v>0.1199485148622277</v>
      </c>
      <c r="H14" s="241">
        <f>SUM(IF(((1-(G18/(IF(ISBLANK(D14),B14,(IF(D14=0,9.99999999999999E+29,D14))))))*SUM(H9:H13))&lt;0,0,((1-(G18/(IF(ISBLANK(D14),B14,(IF(D14=0,9.99999999999999E+29,D14))))))*SUM(H9:H13))))</f>
        <v>0.26972357323574297</v>
      </c>
      <c r="I14" s="241">
        <f>SUM(IF(((1-(H18/(IF(ISBLANK(D14),B14,(IF(D14=0,9.99999999999999E+29,D14))))))*SUM(I9:I13))&lt;0,0,((1-(H18/(IF(ISBLANK(D14),B14,(IF(D14=0,9.99999999999999E+29,D14))))))*SUM(I9:I13))))</f>
        <v>0.22672581132870917</v>
      </c>
      <c r="J14" s="267">
        <f>SUM(((1+F14)*(1+F14)*(1+F14)*(1+G14)*(1+G14)*(1+G14)*(1+H14)*(1+H14)*(1+H14)*(1+I14)*(1+I14)*(1+I14))-1)</f>
        <v>4.4692085450117833</v>
      </c>
      <c r="K14" s="241">
        <f>SUM(IF(((1-(I18/(IF(ISBLANK(E14),C14,(IF(E14=0,9.99999999999999E+29,E14))))))*SUM(K9:K13))&lt;0,0,((1-(I18/(IF(ISBLANK(E14),C14,(IF(E14=0,9.99999999999999E+29,E14))))))*SUM(K9:K13))))</f>
        <v>0.18596589551644876</v>
      </c>
      <c r="L14" s="241">
        <f>SUM(IF(((1-(K18/(IF(ISBLANK(E14),C14,(IF(E14=0,9.99999999999999E+29,E14))))))*SUM(L9:L13))&lt;0,0,((1-(K18/(IF(ISBLANK(E14),C14,(IF(E14=0,9.99999999999999E+29,E14))))))*SUM(L9:L13))))</f>
        <v>0.14895777164750762</v>
      </c>
      <c r="M14" s="241">
        <f>SUM(IF(((1-(L18/(IF(ISBLANK(E14),C14,(IF(E14=0,9.99999999999999E+29,E14))))))*SUM(M9:M13))&lt;0,0,((1-(L18/(IF(ISBLANK(E14),C14,(IF(E14=0,9.99999999999999E+29,E14))))))*SUM(M9:M13))))</f>
        <v>0.13394504297714077</v>
      </c>
      <c r="N14" s="241">
        <f>SUM(IF(((1-(M18/(IF(ISBLANK(E14),C14,(IF(E14=0,9.99999999999999E+29,E14))))))*SUM(N9:N13))&lt;0,0,((1-(M18/(IF(ISBLANK(E14),C14,(IF(E14=0,9.99999999999999E+29,E14))))))*SUM(N9:N13))))</f>
        <v>0.12492739577813684</v>
      </c>
      <c r="O14" s="449">
        <f t="shared" si="70"/>
        <v>4.2514387333466326</v>
      </c>
      <c r="P14" s="241">
        <f>SUM(IF(((1-(N18/(IF(ISBLANK(E14),C14,(IF(E14=0,9.99999999999999E+29,E14))))))*SUM(P9:P13))&lt;0,0,((1-(N18/(IF(ISBLANK(E14),C14,(IF(E14=0,9.99999999999999E+29,E14))))))*SUM(P9:P13))))</f>
        <v>0.11589864800125836</v>
      </c>
      <c r="Q14" s="241">
        <f>SUM(IF(((1-(P18/(IF(ISBLANK(E14),C14,(IF(E14=0,9.99999999999999E+29,E14))))))*SUM(Q9:Q13))&lt;0,0,((1-(P18/(IF(ISBLANK(E14),C14,(IF(E14=0,9.99999999999999E+29,E14))))))*SUM(Q9:Q13))))</f>
        <v>0.10685332459674614</v>
      </c>
      <c r="R14" s="241">
        <f>SUM(IF(((1-(Q18/(IF(ISBLANK(E14),C14,(IF(E14=0,9.99999999999999E+29,E14))))))*SUM(R9:R13))&lt;0,0,((1-(Q18/(IF(ISBLANK(E14),C14,(IF(E14=0,9.99999999999999E+29,E14))))))*SUM(R9:R13))))</f>
        <v>9.7780771685057874E-2</v>
      </c>
      <c r="S14" s="241">
        <f>SUM(IF(((1-(R18/(IF(ISBLANK(E14),C14,(IF(E14=0,9.99999999999999E+29,E14))))))*SUM(S9:S13))&lt;0,0,((1-(R18/(IF(ISBLANK(E14),C14,(IF(E14=0,9.99999999999999E+29,E14))))))*SUM(S9:S13))))</f>
        <v>8.8661701675412125E-2</v>
      </c>
      <c r="T14" s="448">
        <f t="shared" si="75"/>
        <v>2.2164008603190868</v>
      </c>
      <c r="U14" s="266">
        <f>SUM(IF(((1-(T18/(IF(ISBLANK(E14),C14,(IF(E14=0,9.99999999999999E+29,E14))))))*SUM(U9:U13))&lt;0,0,((1-(T18/(IF(ISBLANK(E14),C14,(IF(E14=0,9.99999999999999E+29,E14))))))*SUM(U9:U13))))</f>
        <v>0.73899944446209509</v>
      </c>
      <c r="V14" s="267">
        <f>SUM(IF(((1-(U18/(IF(ISBLANK(E14),C14,(IF(E14=0,9.99999999999999E+29,E14))))))*SUM(V9:V13))&lt;0,0,((1-(U18/(IF(ISBLANK(E14),C14,(IF(E14=0,9.99999999999999E+29,E14))))))*SUM(V9:V13))))</f>
        <v>0.58821758864113283</v>
      </c>
      <c r="W14" s="268">
        <f>SUM(IF(((1-(V18/(IF(ISBLANK(E14),C14,(IF(E14=0,9.99999999999999E+29,E14))))))*SUM(W9:W13))&lt;0,0,((1-(V18/(IF(ISBLANK(E14),C14,(IF(E14=0,9.99999999999999E+29,E14))))))*SUM(W9:W13))))</f>
        <v>0.43470336866094678</v>
      </c>
      <c r="X14" s="243"/>
      <c r="Y14" s="501">
        <v>0</v>
      </c>
      <c r="Z14" s="241">
        <f>F14</f>
        <v>9.9970000000000007E-3</v>
      </c>
      <c r="AA14" s="241">
        <f>F14</f>
        <v>9.9970000000000007E-3</v>
      </c>
      <c r="AB14" s="241">
        <f>F14</f>
        <v>9.9970000000000007E-3</v>
      </c>
      <c r="AC14" s="267">
        <f t="shared" si="51"/>
        <v>2.9991000000000004E-2</v>
      </c>
      <c r="AD14" s="242"/>
      <c r="AE14" s="241">
        <f>G14</f>
        <v>0.1199485148622277</v>
      </c>
      <c r="AF14" s="241">
        <f>G14</f>
        <v>0.1199485148622277</v>
      </c>
      <c r="AG14" s="241">
        <f>G14</f>
        <v>0.1199485148622277</v>
      </c>
      <c r="AH14" s="267">
        <f t="shared" si="52"/>
        <v>0.35984554458668311</v>
      </c>
      <c r="AI14" s="242"/>
      <c r="AJ14" s="241">
        <f>H14</f>
        <v>0.26972357323574297</v>
      </c>
      <c r="AK14" s="241">
        <f>H14</f>
        <v>0.26972357323574297</v>
      </c>
      <c r="AL14" s="241">
        <f>H14</f>
        <v>0.26972357323574297</v>
      </c>
      <c r="AM14" s="267">
        <f t="shared" si="53"/>
        <v>0.80917071970722887</v>
      </c>
      <c r="AN14" s="242"/>
      <c r="AO14" s="241">
        <f>I14</f>
        <v>0.22672581132870917</v>
      </c>
      <c r="AP14" s="241">
        <f>I14</f>
        <v>0.22672581132870917</v>
      </c>
      <c r="AQ14" s="241">
        <f>I14</f>
        <v>0.22672581132870917</v>
      </c>
      <c r="AR14" s="267">
        <f t="shared" si="54"/>
        <v>0.68017743398612751</v>
      </c>
      <c r="AS14" s="242"/>
      <c r="AT14" s="241">
        <f>K14</f>
        <v>0.18596589551644876</v>
      </c>
      <c r="AU14" s="241">
        <f>K14</f>
        <v>0.18596589551644876</v>
      </c>
      <c r="AV14" s="241">
        <f>K14</f>
        <v>0.18596589551644876</v>
      </c>
      <c r="AW14" s="267">
        <f t="shared" si="55"/>
        <v>0.55789768654934635</v>
      </c>
      <c r="AX14" s="242"/>
      <c r="AY14" s="241">
        <f>L14</f>
        <v>0.14895777164750762</v>
      </c>
      <c r="AZ14" s="241">
        <f>L14</f>
        <v>0.14895777164750762</v>
      </c>
      <c r="BA14" s="241">
        <f>L14</f>
        <v>0.14895777164750762</v>
      </c>
      <c r="BB14" s="267">
        <f t="shared" si="56"/>
        <v>0.44687331494252286</v>
      </c>
      <c r="BC14" s="242"/>
      <c r="BD14" s="241">
        <f>M14</f>
        <v>0.13394504297714077</v>
      </c>
      <c r="BE14" s="241">
        <f>M14</f>
        <v>0.13394504297714077</v>
      </c>
      <c r="BF14" s="241">
        <f>M14</f>
        <v>0.13394504297714077</v>
      </c>
      <c r="BG14" s="267">
        <f t="shared" si="57"/>
        <v>0.40183512893142231</v>
      </c>
      <c r="BH14" s="242"/>
      <c r="BI14" s="241">
        <f>N14</f>
        <v>0.12492739577813684</v>
      </c>
      <c r="BJ14" s="241">
        <f>N14</f>
        <v>0.12492739577813684</v>
      </c>
      <c r="BK14" s="241">
        <f>N14</f>
        <v>0.12492739577813684</v>
      </c>
      <c r="BL14" s="267">
        <f t="shared" si="58"/>
        <v>0.37478218733441054</v>
      </c>
      <c r="BM14" s="242"/>
      <c r="BN14" s="241">
        <f>P14</f>
        <v>0.11589864800125836</v>
      </c>
      <c r="BO14" s="241">
        <f>P14</f>
        <v>0.11589864800125836</v>
      </c>
      <c r="BP14" s="241">
        <f>P14</f>
        <v>0.11589864800125836</v>
      </c>
      <c r="BQ14" s="267">
        <f t="shared" si="59"/>
        <v>0.34769594400377507</v>
      </c>
      <c r="BR14" s="242"/>
      <c r="BS14" s="241">
        <f>Q14</f>
        <v>0.10685332459674614</v>
      </c>
      <c r="BT14" s="241">
        <f>Q14</f>
        <v>0.10685332459674614</v>
      </c>
      <c r="BU14" s="241">
        <f>Q14</f>
        <v>0.10685332459674614</v>
      </c>
      <c r="BV14" s="267">
        <f t="shared" si="60"/>
        <v>0.32055997379023843</v>
      </c>
      <c r="BW14" s="242"/>
      <c r="BX14" s="241">
        <f>R14</f>
        <v>9.7780771685057874E-2</v>
      </c>
      <c r="BY14" s="241">
        <f>R14</f>
        <v>9.7780771685057874E-2</v>
      </c>
      <c r="BZ14" s="241">
        <f>R14</f>
        <v>9.7780771685057874E-2</v>
      </c>
      <c r="CA14" s="267">
        <f t="shared" si="61"/>
        <v>0.29334231505517361</v>
      </c>
      <c r="CB14" s="242"/>
      <c r="CC14" s="241">
        <f>S14</f>
        <v>8.8661701675412125E-2</v>
      </c>
      <c r="CD14" s="241">
        <f>S14</f>
        <v>8.8661701675412125E-2</v>
      </c>
      <c r="CE14" s="241">
        <f>S14</f>
        <v>8.8661701675412125E-2</v>
      </c>
      <c r="CF14" s="267">
        <f t="shared" si="62"/>
        <v>0.2659851050262364</v>
      </c>
      <c r="CG14" s="314"/>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row>
    <row r="15" spans="1:175" s="10" customFormat="1" ht="9.75" customHeight="1" x14ac:dyDescent="0.15">
      <c r="A15" s="53" t="s">
        <v>186</v>
      </c>
      <c r="B15" s="260">
        <v>0.2</v>
      </c>
      <c r="C15" s="293">
        <v>-1.7999999999999999E-2</v>
      </c>
      <c r="D15" s="118"/>
      <c r="E15" s="117"/>
      <c r="F15" s="223">
        <v>0.8</v>
      </c>
      <c r="G15" s="224">
        <v>0.5</v>
      </c>
      <c r="H15" s="225">
        <f>SUM(IF(     IF(ISBLANK(D15),B15,D15)   &gt;   0,   (     IF(ISBLANK(D15),B15,D15)   ),0))</f>
        <v>0.2</v>
      </c>
      <c r="I15" s="225">
        <f>SUM(IF(     IF(ISBLANK(D15),B15,D15)     +   (1* (IF(ISBLANK(E15),C15,E15))) &gt;   0,   (     IF(ISBLANK(D15),B15,D15)    +  (1* (IF(ISBLANK(E15),C15,E15)) )  ),0))</f>
        <v>0.18200000000000002</v>
      </c>
      <c r="J15" s="439">
        <f>SUM(((1+F15)*(1+F15)*(1+F15)*(1+G15)*(1+G15)*(1+G15)*(1+H15)*(1+H15)*(1+H15)*(1+I15)*(1+I15)*(1+I15))-1)</f>
        <v>55.167806032543233</v>
      </c>
      <c r="K15" s="225">
        <f>SUM(IF(     IF(ISBLANK(D15),B15,D15)    +   (2* (IF(ISBLANK(E15),C15,E15))) &gt;   0,   (     IF(ISBLANK(D15),B15,D15)    +  (2* (IF(ISBLANK(E15),C15,E15)) )  ),0))</f>
        <v>0.16400000000000001</v>
      </c>
      <c r="L15" s="225">
        <f>SUM(IF(     IF(ISBLANK(D15),B15,D15)    +   (3* (IF(ISBLANK(E15),C15,E15))) &gt;   0,   (     IF(ISBLANK(D15),B15,D15)    +  (3* (IF(ISBLANK(E15),C15,E15)) )  ),0))</f>
        <v>0.14600000000000002</v>
      </c>
      <c r="M15" s="225">
        <f>SUM(IF(     IF(ISBLANK(D15),B15,D15)     +   (4* (IF(ISBLANK(E15),C15,E15))) &gt;   0,   (     IF(ISBLANK(D15),B15,D15)   +  (4* (IF(ISBLANK(E15),C15,E15)) )  ),0))</f>
        <v>0.128</v>
      </c>
      <c r="N15" s="225">
        <f>SUM(IF(     IF(ISBLANK(D15),B15,D15)     +  (5* (IF(ISBLANK(E15),C15,E15))) &gt;   0,   (     IF(ISBLANK(D15),B15,D15)   +  (5* (IF(ISBLANK(E15),C15,E15)) )  ),0))</f>
        <v>0.11000000000000001</v>
      </c>
      <c r="O15" s="439">
        <f t="shared" si="70"/>
        <v>3.6591750660109783</v>
      </c>
      <c r="P15" s="225">
        <f>SUM(IF(     IF(ISBLANK(D15),B15,D15)     +   (6* (IF(ISBLANK(E15),C15,E15))) &gt;   0,   (     IF(ISBLANK(D15),B15,D15)    +  (6* (IF(ISBLANK(E15),C15,E15)) )  ),0))</f>
        <v>9.2000000000000026E-2</v>
      </c>
      <c r="Q15" s="225">
        <f>SUM(IF(     IF(ISBLANK(D15),B15,D15)     +   (7* (IF(ISBLANK(E15),C15,E15))) &gt;   0,   (     IF(ISBLANK(D15),B15,D15)    +  (7* (IF(ISBLANK(E15),C15,E15)) )  ),0))</f>
        <v>7.400000000000001E-2</v>
      </c>
      <c r="R15" s="225">
        <f>SUM(IF(     IF(ISBLANK(D15),B15,D15)     +   (8* (IF(ISBLANK(E15),C15,E15))) &gt;   0,   (     IF(ISBLANK(D15),B15,D15)    +  (8* (IF(ISBLANK(E15),C15,E15)) )  ),0))</f>
        <v>5.6000000000000022E-2</v>
      </c>
      <c r="S15" s="225">
        <f>SUM(IF(     IF(ISBLANK(D15),B15,D15)     +   (9* (IF(ISBLANK(E15),C15,E15))) &gt;   0,   (     IF(ISBLANK(D15),B15,D15)   +  (9* (IF(ISBLANK(E15),C15,E15)) )  ),0))</f>
        <v>3.8000000000000034E-2</v>
      </c>
      <c r="T15" s="450">
        <f t="shared" si="75"/>
        <v>1.1245383470160082</v>
      </c>
      <c r="U15" s="270">
        <v>0.2</v>
      </c>
      <c r="V15" s="271">
        <v>0.2</v>
      </c>
      <c r="W15" s="272">
        <v>0.2</v>
      </c>
      <c r="X15" s="226"/>
      <c r="Y15" s="502">
        <v>0.7</v>
      </c>
      <c r="Z15" s="225">
        <f>F15</f>
        <v>0.8</v>
      </c>
      <c r="AA15" s="225">
        <f>F15</f>
        <v>0.8</v>
      </c>
      <c r="AB15" s="225">
        <f>F15</f>
        <v>0.8</v>
      </c>
      <c r="AC15" s="271">
        <f t="shared" si="51"/>
        <v>2.4000000000000004</v>
      </c>
      <c r="AD15" s="221"/>
      <c r="AE15" s="225">
        <f>G15</f>
        <v>0.5</v>
      </c>
      <c r="AF15" s="225">
        <f>G15</f>
        <v>0.5</v>
      </c>
      <c r="AG15" s="225">
        <f>G15</f>
        <v>0.5</v>
      </c>
      <c r="AH15" s="271">
        <f t="shared" si="52"/>
        <v>1.5</v>
      </c>
      <c r="AI15" s="221"/>
      <c r="AJ15" s="225">
        <f>H15</f>
        <v>0.2</v>
      </c>
      <c r="AK15" s="225">
        <f>H15</f>
        <v>0.2</v>
      </c>
      <c r="AL15" s="225">
        <f>H15</f>
        <v>0.2</v>
      </c>
      <c r="AM15" s="271">
        <f t="shared" si="53"/>
        <v>0.60000000000000009</v>
      </c>
      <c r="AN15" s="221"/>
      <c r="AO15" s="225">
        <f>I15</f>
        <v>0.18200000000000002</v>
      </c>
      <c r="AP15" s="225">
        <f>I15</f>
        <v>0.18200000000000002</v>
      </c>
      <c r="AQ15" s="225">
        <f>I15</f>
        <v>0.18200000000000002</v>
      </c>
      <c r="AR15" s="271">
        <f t="shared" si="54"/>
        <v>0.54600000000000004</v>
      </c>
      <c r="AS15" s="221"/>
      <c r="AT15" s="225">
        <f>K15</f>
        <v>0.16400000000000001</v>
      </c>
      <c r="AU15" s="225">
        <f>K15</f>
        <v>0.16400000000000001</v>
      </c>
      <c r="AV15" s="225">
        <f>K15</f>
        <v>0.16400000000000001</v>
      </c>
      <c r="AW15" s="271">
        <f t="shared" si="55"/>
        <v>0.49199999999999999</v>
      </c>
      <c r="AX15" s="221"/>
      <c r="AY15" s="225">
        <f>L15</f>
        <v>0.14600000000000002</v>
      </c>
      <c r="AZ15" s="225">
        <f>L15</f>
        <v>0.14600000000000002</v>
      </c>
      <c r="BA15" s="225">
        <f>L15</f>
        <v>0.14600000000000002</v>
      </c>
      <c r="BB15" s="271">
        <f t="shared" si="56"/>
        <v>0.43800000000000006</v>
      </c>
      <c r="BC15" s="221"/>
      <c r="BD15" s="225">
        <f>M15</f>
        <v>0.128</v>
      </c>
      <c r="BE15" s="225">
        <f>M15</f>
        <v>0.128</v>
      </c>
      <c r="BF15" s="225">
        <f>M15</f>
        <v>0.128</v>
      </c>
      <c r="BG15" s="271">
        <f t="shared" si="57"/>
        <v>0.38400000000000001</v>
      </c>
      <c r="BH15" s="221"/>
      <c r="BI15" s="225">
        <f>N15</f>
        <v>0.11000000000000001</v>
      </c>
      <c r="BJ15" s="225">
        <f>N15</f>
        <v>0.11000000000000001</v>
      </c>
      <c r="BK15" s="225">
        <f>N15</f>
        <v>0.11000000000000001</v>
      </c>
      <c r="BL15" s="271">
        <f t="shared" si="58"/>
        <v>0.33000000000000007</v>
      </c>
      <c r="BM15" s="221"/>
      <c r="BN15" s="225">
        <f>P15</f>
        <v>9.2000000000000026E-2</v>
      </c>
      <c r="BO15" s="225">
        <f>P15</f>
        <v>9.2000000000000026E-2</v>
      </c>
      <c r="BP15" s="225">
        <f>P15</f>
        <v>9.2000000000000026E-2</v>
      </c>
      <c r="BQ15" s="271">
        <f t="shared" si="59"/>
        <v>0.27600000000000008</v>
      </c>
      <c r="BR15" s="221"/>
      <c r="BS15" s="225">
        <f>Q15</f>
        <v>7.400000000000001E-2</v>
      </c>
      <c r="BT15" s="225">
        <f>Q15</f>
        <v>7.400000000000001E-2</v>
      </c>
      <c r="BU15" s="225">
        <f>Q15</f>
        <v>7.400000000000001E-2</v>
      </c>
      <c r="BV15" s="271">
        <f t="shared" si="60"/>
        <v>0.22200000000000003</v>
      </c>
      <c r="BW15" s="221"/>
      <c r="BX15" s="225">
        <f>R15</f>
        <v>5.6000000000000022E-2</v>
      </c>
      <c r="BY15" s="225">
        <f>R15</f>
        <v>5.6000000000000022E-2</v>
      </c>
      <c r="BZ15" s="225">
        <f>R15</f>
        <v>5.6000000000000022E-2</v>
      </c>
      <c r="CA15" s="271">
        <f t="shared" si="61"/>
        <v>0.16800000000000007</v>
      </c>
      <c r="CB15" s="221"/>
      <c r="CC15" s="225">
        <f>S15</f>
        <v>3.8000000000000034E-2</v>
      </c>
      <c r="CD15" s="225">
        <f>S15</f>
        <v>3.8000000000000034E-2</v>
      </c>
      <c r="CE15" s="225">
        <f>S15</f>
        <v>3.8000000000000034E-2</v>
      </c>
      <c r="CF15" s="271">
        <f t="shared" si="62"/>
        <v>0.1140000000000001</v>
      </c>
      <c r="CG15" s="222"/>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row>
    <row r="16" spans="1:175" s="11" customFormat="1" ht="9.75" customHeight="1" x14ac:dyDescent="0.15">
      <c r="A16" s="193" t="s">
        <v>187</v>
      </c>
      <c r="B16" s="317"/>
      <c r="C16" s="318"/>
      <c r="D16" s="300"/>
      <c r="E16" s="301"/>
      <c r="F16" s="451">
        <f>SUM((F18/Y18)-1)/3</f>
        <v>0.14338090529920011</v>
      </c>
      <c r="G16" s="451">
        <f>SUM((G18/F18)-1)/3</f>
        <v>0.4620828779306933</v>
      </c>
      <c r="H16" s="451">
        <f>SUM((H18/G18)-1)/3</f>
        <v>1.4862054284198958</v>
      </c>
      <c r="I16" s="451">
        <f>SUM((I18/H18)-1)/3</f>
        <v>0.32285670991443666</v>
      </c>
      <c r="J16" s="457" t="s">
        <v>50</v>
      </c>
      <c r="K16" s="452">
        <f>SUM((K18/I18)-1)/3</f>
        <v>0.18189303561675976</v>
      </c>
      <c r="L16" s="452">
        <f>SUM((L18/K18)-1)/3</f>
        <v>0.14903553968232833</v>
      </c>
      <c r="M16" s="452">
        <f>SUM((M18/L18)-1)/3</f>
        <v>0.13874297762148821</v>
      </c>
      <c r="N16" s="452">
        <f>SUM((N18/M18)-1)/3</f>
        <v>0.16808615753890246</v>
      </c>
      <c r="O16" s="453">
        <f>SUM(O18/J18)-1</f>
        <v>3.7651414334841133</v>
      </c>
      <c r="P16" s="452">
        <f>SUM((P18/N18)-1)/3</f>
        <v>0.18963805575077916</v>
      </c>
      <c r="Q16" s="452">
        <f>SUM((Q18/P18)-1)/3</f>
        <v>0.21063773527308616</v>
      </c>
      <c r="R16" s="452">
        <f>SUM((R18/Q18)-1)/3</f>
        <v>0.23305984694856532</v>
      </c>
      <c r="S16" s="452">
        <f>SUM((S18/R18)-1)/3</f>
        <v>0.25607222143730701</v>
      </c>
      <c r="T16" s="454">
        <f>SUM(T18/O18)-1</f>
        <v>6.6925617479475878</v>
      </c>
      <c r="U16" s="455">
        <f>SUM(U18/T18)-1</f>
        <v>1.9217133924917169</v>
      </c>
      <c r="V16" s="453">
        <f>SUM(V18/U18)-1</f>
        <v>1.3782808533306281</v>
      </c>
      <c r="W16" s="456">
        <f>SUM(W18/V18)-1</f>
        <v>0.80535169593839151</v>
      </c>
      <c r="X16" s="190"/>
      <c r="Y16" s="503">
        <v>0</v>
      </c>
      <c r="Z16" s="452">
        <f>SUM((Z18/Y18)-1)</f>
        <v>0.34299033333333329</v>
      </c>
      <c r="AA16" s="452">
        <f t="shared" ref="AA16:AB16" si="115">SUM((AA18/Z18)-1)</f>
        <v>5.3631764310788199E-2</v>
      </c>
      <c r="AB16" s="452">
        <f t="shared" si="115"/>
        <v>1.0689227481044838E-2</v>
      </c>
      <c r="AC16" s="453">
        <f t="shared" si="51"/>
        <v>0.40731132512516632</v>
      </c>
      <c r="AD16" s="458"/>
      <c r="AE16" s="452">
        <f>SUM((AE18/AB18)-1)</f>
        <v>0.69164258472438633</v>
      </c>
      <c r="AF16" s="452">
        <f>SUM((AF18/AE18)-1)</f>
        <v>0.2534712693374388</v>
      </c>
      <c r="AG16" s="452">
        <f>SUM((AG18/AF18)-1)</f>
        <v>0.12536317411491193</v>
      </c>
      <c r="AH16" s="453">
        <f t="shared" si="52"/>
        <v>1.0704770281767371</v>
      </c>
      <c r="AI16" s="458"/>
      <c r="AJ16" s="452">
        <f>SUM((AJ18/AG18)-1)</f>
        <v>1.3872345239777131</v>
      </c>
      <c r="AK16" s="452">
        <f>SUM((AK18/AJ18)-1)</f>
        <v>0.62162198853960549</v>
      </c>
      <c r="AL16" s="452">
        <f>SUM((AL18/AK18)-1)</f>
        <v>0.41006085233300604</v>
      </c>
      <c r="AM16" s="453">
        <f t="shared" si="53"/>
        <v>2.4189173648503246</v>
      </c>
      <c r="AN16" s="458"/>
      <c r="AO16" s="452">
        <f>SUM((AO18/AL18)-1)</f>
        <v>0.3088377577965522</v>
      </c>
      <c r="AP16" s="452">
        <f>SUM((AP18/AO18)-1)</f>
        <v>0.24651701493249223</v>
      </c>
      <c r="AQ16" s="452">
        <f>SUM((AQ18/AP18)-1)</f>
        <v>0.20660984595194409</v>
      </c>
      <c r="AR16" s="453">
        <f t="shared" si="54"/>
        <v>0.76196461868098853</v>
      </c>
      <c r="AS16" s="458"/>
      <c r="AT16" s="452">
        <f>SUM((AT18/AQ18)-1)</f>
        <v>0.17795546329943113</v>
      </c>
      <c r="AU16" s="452">
        <f>SUM((AU18/AT18)-1)</f>
        <v>0.15438989000776715</v>
      </c>
      <c r="AV16" s="452">
        <f>SUM((AV18/AU18)-1)</f>
        <v>0.13667930009280682</v>
      </c>
      <c r="AW16" s="453">
        <f t="shared" si="55"/>
        <v>0.4690246534000051</v>
      </c>
      <c r="AX16" s="458"/>
      <c r="AY16" s="452">
        <f>SUM((AY18/AV18)-1)</f>
        <v>0.14859559452069449</v>
      </c>
      <c r="AZ16" s="452">
        <f>SUM((AZ18/AY18)-1)</f>
        <v>0.12975420336633281</v>
      </c>
      <c r="BA16" s="452">
        <f>SUM((BA18/AZ18)-1)</f>
        <v>0.11519141622347773</v>
      </c>
      <c r="BB16" s="453">
        <f t="shared" si="56"/>
        <v>0.39354121411050502</v>
      </c>
      <c r="BC16" s="458"/>
      <c r="BD16" s="452">
        <f>SUM((BD18/BA18)-1)</f>
        <v>0.13792140407012043</v>
      </c>
      <c r="BE16" s="452">
        <f>SUM((BE18/BD18)-1)</f>
        <v>0.12192525094310946</v>
      </c>
      <c r="BF16" s="452">
        <f>SUM((BF18/BE18)-1)</f>
        <v>0.10932109933069345</v>
      </c>
      <c r="BG16" s="453">
        <f t="shared" si="57"/>
        <v>0.36916775434392335</v>
      </c>
      <c r="BH16" s="458"/>
      <c r="BI16" s="452">
        <f>SUM((BI18/BF18)-1)</f>
        <v>0.16560185294242102</v>
      </c>
      <c r="BJ16" s="452">
        <f>SUM((BJ18/BI18)-1)</f>
        <v>0.14419491262698592</v>
      </c>
      <c r="BK16" s="452">
        <f>SUM((BK18/BJ18)-1)</f>
        <v>0.12790422815371594</v>
      </c>
      <c r="BL16" s="453">
        <f>SUM(BI16:BK16)</f>
        <v>0.43770099372312288</v>
      </c>
      <c r="BM16" s="458"/>
      <c r="BN16" s="452">
        <f>SUM((BN18/BK18)-1)</f>
        <v>0.18517731391873737</v>
      </c>
      <c r="BO16" s="452">
        <f>SUM((BO18/BN18)-1)</f>
        <v>0.15997842612679314</v>
      </c>
      <c r="BP16" s="452">
        <f>SUM((BP18/BO18)-1)</f>
        <v>0.14121098335210602</v>
      </c>
      <c r="BQ16" s="453">
        <f>SUM(BN16:BP16)</f>
        <v>0.48636672339763654</v>
      </c>
      <c r="BR16" s="458"/>
      <c r="BS16" s="452">
        <f>SUM((BS18/BP18)-1)</f>
        <v>0.20386668952637588</v>
      </c>
      <c r="BT16" s="452">
        <f>SUM((BT18/BS18)-1)</f>
        <v>0.17490673168695281</v>
      </c>
      <c r="BU16" s="452">
        <f>SUM((BU18/BT18)-1)</f>
        <v>0.15375943846864781</v>
      </c>
      <c r="BV16" s="453">
        <f>SUM(BS16:BU16)</f>
        <v>0.5325328596819765</v>
      </c>
      <c r="BW16" s="458"/>
      <c r="BX16" s="452">
        <f>SUM((BX18/BU18)-1)</f>
        <v>0.22358806419460819</v>
      </c>
      <c r="BY16" s="452">
        <f>SUM((BY18/BX18)-1)</f>
        <v>0.19036614762137805</v>
      </c>
      <c r="BZ16" s="452">
        <f>SUM((BZ18/BY18)-1)</f>
        <v>0.16660402563362453</v>
      </c>
      <c r="CA16" s="453">
        <f t="shared" si="61"/>
        <v>0.58055823744961077</v>
      </c>
      <c r="CB16" s="458"/>
      <c r="CC16" s="452">
        <f>SUM((CC18/BZ18)-1)</f>
        <v>0.24352641332067382</v>
      </c>
      <c r="CD16" s="452">
        <f>SUM((CD18/CC18)-1)</f>
        <v>0.20575668765986088</v>
      </c>
      <c r="CE16" s="452">
        <f>SUM((CE18/CD18)-1)</f>
        <v>0.17929046033936591</v>
      </c>
      <c r="CF16" s="453">
        <f t="shared" si="62"/>
        <v>0.62857356131990061</v>
      </c>
      <c r="CG16" s="113"/>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row>
    <row r="17" spans="1:175" s="11" customFormat="1" ht="9.75" customHeight="1" x14ac:dyDescent="0.15">
      <c r="A17" s="54" t="s">
        <v>188</v>
      </c>
      <c r="B17" s="319"/>
      <c r="C17" s="320"/>
      <c r="D17" s="204"/>
      <c r="E17" s="205"/>
      <c r="F17" s="99">
        <f>AC17</f>
        <v>645.21407384639997</v>
      </c>
      <c r="G17" s="36">
        <f>AH17</f>
        <v>2973.800079061115</v>
      </c>
      <c r="H17" s="36">
        <f>AM17</f>
        <v>22823.719866628271</v>
      </c>
      <c r="I17" s="36">
        <f>AR17</f>
        <v>27064.497514684583</v>
      </c>
      <c r="J17" s="191">
        <f>SUM(J18-Y18)</f>
        <v>53507.231534220366</v>
      </c>
      <c r="K17" s="36">
        <f>AW17</f>
        <v>30016.296973899887</v>
      </c>
      <c r="L17" s="36">
        <f>BB17</f>
        <v>38014.582370710603</v>
      </c>
      <c r="M17" s="36">
        <f>BG17</f>
        <v>51212.021592755438</v>
      </c>
      <c r="N17" s="36">
        <f>BL17</f>
        <v>87867.105653381048</v>
      </c>
      <c r="O17" s="191">
        <f>SUM(O18-J18)</f>
        <v>207110.00659074698</v>
      </c>
      <c r="P17" s="36">
        <f>BQ17</f>
        <v>149122.21025034846</v>
      </c>
      <c r="Q17" s="36">
        <f>BV17</f>
        <v>259867.63818218926</v>
      </c>
      <c r="R17" s="36">
        <f>CA17</f>
        <v>469224.34463756904</v>
      </c>
      <c r="S17" s="36">
        <f>CF17</f>
        <v>876021.60828271881</v>
      </c>
      <c r="T17" s="192">
        <f>SUM(T18-O18)</f>
        <v>1754235.8013528257</v>
      </c>
      <c r="U17" s="197">
        <f>SUM((U8+(T18*U14))-(T18*U15))</f>
        <v>3874852.639955854</v>
      </c>
      <c r="V17" s="191">
        <f>SUM((V8+(U18*V14))-(U18*V15))</f>
        <v>8119735.9909960506</v>
      </c>
      <c r="W17" s="198">
        <f>SUM((W8+(V18*W14))-(V18*W15))</f>
        <v>11283735.635974439</v>
      </c>
      <c r="X17" s="175"/>
      <c r="Y17" s="507">
        <v>1500</v>
      </c>
      <c r="Z17" s="36">
        <f>SUM((Z8+(Y18*Z14))-(Y18*Z15))</f>
        <v>514.4855</v>
      </c>
      <c r="AA17" s="36">
        <f>SUM((AA8+(Z18*AA14))-(Z18*AA15))</f>
        <v>108.04041154349989</v>
      </c>
      <c r="AB17" s="36">
        <f>SUM((AB8+(AA18*AB14))-(AA18*AB15))</f>
        <v>22.688162302900082</v>
      </c>
      <c r="AC17" s="191">
        <f t="shared" si="51"/>
        <v>645.21407384639997</v>
      </c>
      <c r="AD17" s="191"/>
      <c r="AE17" s="36">
        <f>SUM((AE8+(AB18*AE14))-(AB18*AE15))</f>
        <v>1483.7214068222552</v>
      </c>
      <c r="AF17" s="36">
        <f>SUM((AF8+(AE18*AF14))-(AE18*AF15))</f>
        <v>919.83088262875231</v>
      </c>
      <c r="AG17" s="36">
        <f>SUM((AG8+(AF18*AG14))-(AF18*AG15))</f>
        <v>570.24778961010725</v>
      </c>
      <c r="AH17" s="191">
        <f t="shared" si="52"/>
        <v>2973.800079061115</v>
      </c>
      <c r="AI17" s="191"/>
      <c r="AJ17" s="36">
        <f>SUM((AJ8+(AG18*AJ14))-(AG18*AJ15))</f>
        <v>7101.2731616438332</v>
      </c>
      <c r="AK17" s="36">
        <f>SUM((AK8+(AJ18*AK14))-(AJ18*AK15))</f>
        <v>7596.3993009967235</v>
      </c>
      <c r="AL17" s="36">
        <f>SUM((AL8+(AK18*AL14))-(AK18*AL15))</f>
        <v>8126.0474039877154</v>
      </c>
      <c r="AM17" s="191">
        <f t="shared" si="53"/>
        <v>22823.719866628271</v>
      </c>
      <c r="AN17" s="191"/>
      <c r="AO17" s="36">
        <f>SUM((AO8+(AL18*AO14))-(AL18*AO15))</f>
        <v>8629.7713212988747</v>
      </c>
      <c r="AP17" s="36">
        <f>SUM((AP8+(AO18*AP14))-(AO18*AP15))</f>
        <v>9015.7448452251938</v>
      </c>
      <c r="AQ17" s="36">
        <f>SUM((AQ8+(AP18*AQ14))-(AP18*AQ15))</f>
        <v>9418.9813481605179</v>
      </c>
      <c r="AR17" s="191">
        <f t="shared" si="54"/>
        <v>27064.497514684583</v>
      </c>
      <c r="AS17" s="191"/>
      <c r="AT17" s="36">
        <f>SUM((AT8+(AQ18*AT14))-(AQ18*AT15))</f>
        <v>9788.8373724912635</v>
      </c>
      <c r="AU17" s="36">
        <f>SUM((AU8+(AT18*AU14))-(AT18*AU15))</f>
        <v>10003.857951442918</v>
      </c>
      <c r="AV17" s="36">
        <f>SUM((AV8+(AU18*AV14))-(AU18*AV15))</f>
        <v>10223.601649965707</v>
      </c>
      <c r="AW17" s="191">
        <f t="shared" si="55"/>
        <v>30016.296973899887</v>
      </c>
      <c r="AX17" s="191"/>
      <c r="AY17" s="36">
        <f>SUM((AY8+(AV18*AY14))-(AV18*AY15))</f>
        <v>12634.121766911336</v>
      </c>
      <c r="AZ17" s="36">
        <f>SUM((AZ8+(AY18*AZ14))-(AY18*AZ15))</f>
        <v>12671.490614064664</v>
      </c>
      <c r="BA17" s="36">
        <f>SUM((BA8+(AZ18*BA14))-(AZ18*BA15))</f>
        <v>12708.969989734604</v>
      </c>
      <c r="BB17" s="191">
        <f t="shared" si="56"/>
        <v>38014.582370710603</v>
      </c>
      <c r="BC17" s="191"/>
      <c r="BD17" s="36">
        <f>SUM((BD8+(BA18*BD14))-(BA18*BD15))</f>
        <v>16969.589006543509</v>
      </c>
      <c r="BE17" s="36">
        <f>SUM((BE8+(BD18*BE14))-(BD18*BE15))</f>
        <v>17070.473942491826</v>
      </c>
      <c r="BF17" s="36">
        <f>SUM((BF8+(BE18*BF14))-(BE18*BF15))</f>
        <v>17171.958643720103</v>
      </c>
      <c r="BG17" s="191">
        <f t="shared" si="57"/>
        <v>51212.021592755438</v>
      </c>
      <c r="BH17" s="191"/>
      <c r="BI17" s="36">
        <f>SUM((BI8+(BF18*BI14))-(BF18*BI15))</f>
        <v>28856.14481275704</v>
      </c>
      <c r="BJ17" s="36">
        <f>SUM((BJ8+(BI18*BJ14))-(BI18*BJ15))</f>
        <v>29286.891907008292</v>
      </c>
      <c r="BK17" s="36">
        <f>SUM((BK8+(BJ18*BK14))-(BJ18*BK15))</f>
        <v>29724.068933615719</v>
      </c>
      <c r="BL17" s="191">
        <f>SUM(BI17:BK17)</f>
        <v>87867.105653381048</v>
      </c>
      <c r="BM17" s="191"/>
      <c r="BN17" s="36">
        <f>SUM((BN8+(BK18*BN14))-(BK18*BN15))</f>
        <v>48538.166087779522</v>
      </c>
      <c r="BO17" s="36">
        <f>SUM((BO8+(BN18*BO14))-(BN18*BO15))</f>
        <v>49698.162633737971</v>
      </c>
      <c r="BP17" s="36">
        <f>SUM((BP8+(BO18*BP14))-(BO18*BP15))</f>
        <v>50885.881528830971</v>
      </c>
      <c r="BQ17" s="191">
        <f>SUM(BN17:BP17)</f>
        <v>149122.21025034846</v>
      </c>
      <c r="BR17" s="191"/>
      <c r="BS17" s="36">
        <f>SUM((BS8+(BP18*BS14))-(BP18*BS15))</f>
        <v>83838.024942928576</v>
      </c>
      <c r="BT17" s="36">
        <f>SUM((BT8+(BS18*BT14))-(BS18*BT15))</f>
        <v>86592.382789928728</v>
      </c>
      <c r="BU17" s="36">
        <f>SUM((BU8+(BT18*BU14))-(BT18*BU15))</f>
        <v>89437.230449331953</v>
      </c>
      <c r="BV17" s="191">
        <f>SUM(BS17:BU17)</f>
        <v>259867.63818218926</v>
      </c>
      <c r="BW17" s="191"/>
      <c r="BX17" s="36">
        <f>SUM((BX8+(BU18*BX14))-(BU18*BX15))</f>
        <v>150051.53435067582</v>
      </c>
      <c r="BY17" s="36">
        <f>SUM((BY8+(BX18*BY14))-(BX18*BY15))</f>
        <v>156320.80324837402</v>
      </c>
      <c r="BZ17" s="36">
        <f>SUM((BZ8+(BY18*BZ14))-(BY18*BZ15))</f>
        <v>162852.00703851919</v>
      </c>
      <c r="CA17" s="191">
        <f>SUM(BX17:BZ17)</f>
        <v>469224.34463756904</v>
      </c>
      <c r="CB17" s="191"/>
      <c r="CC17" s="36">
        <f>SUM((CC8+(BZ18*CC14))-(BZ18*CC15))</f>
        <v>277700.82343576709</v>
      </c>
      <c r="CD17" s="36">
        <f>SUM((CD8+(CC18*CD14))-(CC18*CD15))</f>
        <v>291769.61970768624</v>
      </c>
      <c r="CE17" s="36">
        <f>SUM((CE8+(CD18*CE14))-(CD18*CE15))</f>
        <v>306551.16513926547</v>
      </c>
      <c r="CF17" s="191">
        <f>SUM(CC17:CE17)</f>
        <v>876021.60828271881</v>
      </c>
      <c r="CG17" s="198"/>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row>
    <row r="18" spans="1:175" s="9" customFormat="1" ht="9.75" customHeight="1" x14ac:dyDescent="0.15">
      <c r="A18" s="52" t="s">
        <v>189</v>
      </c>
      <c r="B18" s="321"/>
      <c r="C18" s="322"/>
      <c r="D18" s="202"/>
      <c r="E18" s="203"/>
      <c r="F18" s="99">
        <f>AC18</f>
        <v>2145.2140738464004</v>
      </c>
      <c r="G18" s="36">
        <f>AH18</f>
        <v>5119.0141529075154</v>
      </c>
      <c r="H18" s="36">
        <f>AM18</f>
        <v>27942.734019535787</v>
      </c>
      <c r="I18" s="36">
        <f>AR18</f>
        <v>55007.231534220366</v>
      </c>
      <c r="J18" s="191">
        <f>AQ18</f>
        <v>55007.231534220366</v>
      </c>
      <c r="K18" s="36">
        <f>AW18</f>
        <v>85023.52850812026</v>
      </c>
      <c r="L18" s="36">
        <f>BB18</f>
        <v>123038.11087883086</v>
      </c>
      <c r="M18" s="36">
        <f>BG18</f>
        <v>174250.13247158632</v>
      </c>
      <c r="N18" s="36">
        <f>BL18</f>
        <v>262117.23812496735</v>
      </c>
      <c r="O18" s="191">
        <f>BK18</f>
        <v>262117.23812496735</v>
      </c>
      <c r="P18" s="36">
        <f>BQ18</f>
        <v>411239.44837531581</v>
      </c>
      <c r="Q18" s="36">
        <f>BV18</f>
        <v>671107.08655750507</v>
      </c>
      <c r="R18" s="36">
        <f>CA18</f>
        <v>1140331.4311950742</v>
      </c>
      <c r="S18" s="36">
        <f>CF18</f>
        <v>2016353.039477793</v>
      </c>
      <c r="T18" s="192">
        <f>CE18</f>
        <v>2016353.039477793</v>
      </c>
      <c r="U18" s="197">
        <f>SUM(T18+U17)</f>
        <v>5891205.6794336475</v>
      </c>
      <c r="V18" s="191">
        <f>SUM(U18+V17)</f>
        <v>14010941.670429699</v>
      </c>
      <c r="W18" s="198">
        <f>SUM(V18+W17)</f>
        <v>25294677.306404136</v>
      </c>
      <c r="X18" s="175"/>
      <c r="Y18" s="508">
        <v>1500</v>
      </c>
      <c r="Z18" s="36">
        <f>SUM(Y18+Z17)</f>
        <v>2014.4855</v>
      </c>
      <c r="AA18" s="36">
        <f>SUM(Z18+AA17)</f>
        <v>2122.5259115435001</v>
      </c>
      <c r="AB18" s="36">
        <f>SUM(AA18+AB17)</f>
        <v>2145.2140738464004</v>
      </c>
      <c r="AC18" s="191">
        <f>AB18</f>
        <v>2145.2140738464004</v>
      </c>
      <c r="AD18" s="191"/>
      <c r="AE18" s="36">
        <f>SUM(AB18+AE17)</f>
        <v>3628.9354806686556</v>
      </c>
      <c r="AF18" s="36">
        <f>SUM(AE18+AF17)</f>
        <v>4548.7663632974081</v>
      </c>
      <c r="AG18" s="36">
        <f>SUM(AF18+AG17)</f>
        <v>5119.0141529075154</v>
      </c>
      <c r="AH18" s="191">
        <f>AG18</f>
        <v>5119.0141529075154</v>
      </c>
      <c r="AI18" s="191"/>
      <c r="AJ18" s="36">
        <f>SUM(AG18+AJ17)</f>
        <v>12220.287314551348</v>
      </c>
      <c r="AK18" s="36">
        <f>SUM(AJ18+AK17)</f>
        <v>19816.686615548071</v>
      </c>
      <c r="AL18" s="36">
        <f>SUM(AK18+AL17)</f>
        <v>27942.734019535787</v>
      </c>
      <c r="AM18" s="191">
        <f>AL18</f>
        <v>27942.734019535787</v>
      </c>
      <c r="AN18" s="191"/>
      <c r="AO18" s="36">
        <f>SUM(AL18+AO17)</f>
        <v>36572.505340834658</v>
      </c>
      <c r="AP18" s="36">
        <f>SUM(AO18+AP17)</f>
        <v>45588.25018605985</v>
      </c>
      <c r="AQ18" s="36">
        <f>SUM(AP18+AQ17)</f>
        <v>55007.231534220366</v>
      </c>
      <c r="AR18" s="191">
        <f>AQ18</f>
        <v>55007.231534220366</v>
      </c>
      <c r="AS18" s="191"/>
      <c r="AT18" s="36">
        <f>SUM(AQ18+AT17)</f>
        <v>64796.068906711633</v>
      </c>
      <c r="AU18" s="36">
        <f>SUM(AT18+AU17)</f>
        <v>74799.926858154548</v>
      </c>
      <c r="AV18" s="36">
        <f>SUM(AU18+AV17)</f>
        <v>85023.52850812026</v>
      </c>
      <c r="AW18" s="191">
        <f>AV18</f>
        <v>85023.52850812026</v>
      </c>
      <c r="AX18" s="191"/>
      <c r="AY18" s="36">
        <f>SUM(AV18+AY17)</f>
        <v>97657.650275031599</v>
      </c>
      <c r="AZ18" s="36">
        <f>SUM(AY18+AZ17)</f>
        <v>110329.14088909626</v>
      </c>
      <c r="BA18" s="36">
        <f>SUM(AZ18+BA17)</f>
        <v>123038.11087883086</v>
      </c>
      <c r="BB18" s="191">
        <f>BA18</f>
        <v>123038.11087883086</v>
      </c>
      <c r="BC18" s="191"/>
      <c r="BD18" s="36">
        <f>SUM(BA18+BD17)</f>
        <v>140007.69988537437</v>
      </c>
      <c r="BE18" s="36">
        <f>SUM(BD18+BE17)</f>
        <v>157078.17382786621</v>
      </c>
      <c r="BF18" s="36">
        <f>SUM(BE18+BF17)</f>
        <v>174250.13247158632</v>
      </c>
      <c r="BG18" s="191">
        <f>BF18</f>
        <v>174250.13247158632</v>
      </c>
      <c r="BH18" s="191"/>
      <c r="BI18" s="36">
        <f>SUM(BF18+BI17)</f>
        <v>203106.27728434335</v>
      </c>
      <c r="BJ18" s="36">
        <f>SUM(BI18+BJ17)</f>
        <v>232393.16919135163</v>
      </c>
      <c r="BK18" s="36">
        <f>SUM(BJ18+BK17)</f>
        <v>262117.23812496735</v>
      </c>
      <c r="BL18" s="191">
        <f>BK18</f>
        <v>262117.23812496735</v>
      </c>
      <c r="BM18" s="191"/>
      <c r="BN18" s="36">
        <f>SUM(BL18+BN17)</f>
        <v>310655.40421274689</v>
      </c>
      <c r="BO18" s="36">
        <f>SUM(BN18+BO17)</f>
        <v>360353.56684648484</v>
      </c>
      <c r="BP18" s="36">
        <f>SUM(BO18+BP17)</f>
        <v>411239.44837531581</v>
      </c>
      <c r="BQ18" s="191">
        <f>BP18</f>
        <v>411239.44837531581</v>
      </c>
      <c r="BR18" s="191"/>
      <c r="BS18" s="36">
        <f>SUM(BP18+BS17)</f>
        <v>495077.47331824439</v>
      </c>
      <c r="BT18" s="36">
        <f>SUM(BS18+BT17)</f>
        <v>581669.85610817315</v>
      </c>
      <c r="BU18" s="36">
        <f>SUM(BT18+BU17)</f>
        <v>671107.08655750507</v>
      </c>
      <c r="BV18" s="191">
        <f>BU18</f>
        <v>671107.08655750507</v>
      </c>
      <c r="BW18" s="191"/>
      <c r="BX18" s="36">
        <f>SUM(BU18+BX17)</f>
        <v>821158.62090818095</v>
      </c>
      <c r="BY18" s="36">
        <f>SUM(BX18+BY17)</f>
        <v>977479.42415655497</v>
      </c>
      <c r="BZ18" s="36">
        <f>SUM(BY18+BZ17)</f>
        <v>1140331.4311950742</v>
      </c>
      <c r="CA18" s="191">
        <f>BZ18</f>
        <v>1140331.4311950742</v>
      </c>
      <c r="CB18" s="191"/>
      <c r="CC18" s="36">
        <f>SUM(BZ18+CC17)</f>
        <v>1418032.2546308413</v>
      </c>
      <c r="CD18" s="36">
        <f>SUM(CC18+CD17)</f>
        <v>1709801.8743385277</v>
      </c>
      <c r="CE18" s="36">
        <f>SUM(CD18+CE17)</f>
        <v>2016353.039477793</v>
      </c>
      <c r="CF18" s="191">
        <f>CE18</f>
        <v>2016353.039477793</v>
      </c>
      <c r="CG18" s="198"/>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5"/>
      <c r="B19" s="160"/>
      <c r="C19" s="323"/>
      <c r="D19" s="40"/>
      <c r="E19" s="42"/>
      <c r="F19" s="64"/>
      <c r="G19" s="31"/>
      <c r="H19" s="31"/>
      <c r="I19" s="31"/>
      <c r="J19" s="30"/>
      <c r="K19" s="31"/>
      <c r="L19" s="31"/>
      <c r="M19" s="31"/>
      <c r="N19" s="31"/>
      <c r="O19" s="30"/>
      <c r="P19" s="31"/>
      <c r="Q19" s="31"/>
      <c r="R19" s="31"/>
      <c r="S19" s="31"/>
      <c r="T19" s="108"/>
      <c r="U19" s="160"/>
      <c r="V19" s="31"/>
      <c r="W19" s="65"/>
      <c r="X19" s="169"/>
      <c r="Y19" s="64"/>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56" t="s">
        <v>190</v>
      </c>
      <c r="B20" s="292"/>
      <c r="C20" s="324"/>
      <c r="D20" s="302"/>
      <c r="E20" s="303"/>
      <c r="F20" s="100"/>
      <c r="G20" s="76"/>
      <c r="H20" s="76"/>
      <c r="I20" s="76"/>
      <c r="J20" s="275"/>
      <c r="K20" s="76"/>
      <c r="L20" s="76"/>
      <c r="M20" s="76"/>
      <c r="N20" s="76"/>
      <c r="O20" s="275"/>
      <c r="P20" s="76"/>
      <c r="Q20" s="76"/>
      <c r="R20" s="76"/>
      <c r="S20" s="76"/>
      <c r="T20" s="273"/>
      <c r="U20" s="274"/>
      <c r="V20" s="275"/>
      <c r="W20" s="276"/>
      <c r="X20" s="176"/>
      <c r="Y20" s="504"/>
      <c r="Z20" s="71"/>
      <c r="AA20" s="71"/>
      <c r="AB20" s="71"/>
      <c r="AC20" s="285"/>
      <c r="AD20" s="72"/>
      <c r="AE20" s="71"/>
      <c r="AF20" s="71"/>
      <c r="AG20" s="71"/>
      <c r="AH20" s="285"/>
      <c r="AI20" s="72"/>
      <c r="AJ20" s="71"/>
      <c r="AK20" s="71"/>
      <c r="AL20" s="71"/>
      <c r="AM20" s="285"/>
      <c r="AN20" s="72"/>
      <c r="AO20" s="71"/>
      <c r="AP20" s="71"/>
      <c r="AQ20" s="71"/>
      <c r="AR20" s="285"/>
      <c r="AS20" s="72"/>
      <c r="AT20" s="71"/>
      <c r="AU20" s="71"/>
      <c r="AV20" s="71"/>
      <c r="AW20" s="285"/>
      <c r="AX20" s="72"/>
      <c r="AY20" s="71"/>
      <c r="AZ20" s="71"/>
      <c r="BA20" s="71"/>
      <c r="BB20" s="285"/>
      <c r="BC20" s="72"/>
      <c r="BD20" s="71"/>
      <c r="BE20" s="71"/>
      <c r="BF20" s="71"/>
      <c r="BG20" s="285"/>
      <c r="BH20" s="72"/>
      <c r="BI20" s="71"/>
      <c r="BJ20" s="71"/>
      <c r="BK20" s="71"/>
      <c r="BL20" s="285"/>
      <c r="BM20" s="72"/>
      <c r="BN20" s="71"/>
      <c r="BO20" s="71"/>
      <c r="BP20" s="71"/>
      <c r="BQ20" s="285"/>
      <c r="BR20" s="72"/>
      <c r="BS20" s="71"/>
      <c r="BT20" s="71"/>
      <c r="BU20" s="71"/>
      <c r="BV20" s="285"/>
      <c r="BW20" s="72"/>
      <c r="BX20" s="71"/>
      <c r="BY20" s="71"/>
      <c r="BZ20" s="71"/>
      <c r="CA20" s="285"/>
      <c r="CB20" s="72"/>
      <c r="CC20" s="71"/>
      <c r="CD20" s="71"/>
      <c r="CE20" s="71"/>
      <c r="CF20" s="285"/>
      <c r="CG20" s="89"/>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57" t="s">
        <v>191</v>
      </c>
      <c r="B21" s="278">
        <v>0.3</v>
      </c>
      <c r="C21" s="304">
        <v>7.0000000000000007E-2</v>
      </c>
      <c r="D21" s="121"/>
      <c r="E21" s="120"/>
      <c r="F21" s="129">
        <v>0</v>
      </c>
      <c r="G21" s="128">
        <v>0</v>
      </c>
      <c r="H21" s="33">
        <f>SUM(IF(ISBLANK(D21),B21,D21))</f>
        <v>0.3</v>
      </c>
      <c r="I21" s="33">
        <f>SUM(IF((1*(IF(ISBLANK(E21),C21,E21)))+IF(ISBLANK(D21),B21,D21) &lt; 0, 0, (1*(IF(ISBLANK(E21),C21,E21)))+IF(ISBLANK(D21),B21,D21)))</f>
        <v>0.37</v>
      </c>
      <c r="J21" s="282">
        <f>SUM(AC21+AH21+AM21+AR21)</f>
        <v>68746.067597503061</v>
      </c>
      <c r="K21" s="33">
        <f>SUM(IF((2*(IF(ISBLANK(E21),C21,E21)))+IF(ISBLANK(D21),B21,D21) &lt; 0, 0, (2*(IF(ISBLANK(E21),C21,E21)))+IF(ISBLANK(D21),B21,D21)))</f>
        <v>0.44</v>
      </c>
      <c r="L21" s="33">
        <f>SUM(IF((3*(IF(ISBLANK(E21),C21,E21)))+IF(ISBLANK(D21),B21,D21) &lt; 0, 0, (3*(IF(ISBLANK(E21),C21,E21)))+IF(ISBLANK(D21),B21,D21)))</f>
        <v>0.51</v>
      </c>
      <c r="M21" s="33">
        <f>SUM(IF((4*(IF(ISBLANK(E21),C21,E21)))+IF(ISBLANK(D21),B21,D21) &lt; 0, 0, (4*(IF(ISBLANK(E21),C21,E21)))+IF(ISBLANK(D21),B21,D21)))</f>
        <v>0.58000000000000007</v>
      </c>
      <c r="N21" s="33">
        <f>SUM(IF((5*(IF(ISBLANK(E21),C21,E21)))+IF(ISBLANK(D21),B21,D21) &lt; 0, 0, (5*(IF(ISBLANK(E21),C21,E21)))+IF(ISBLANK(D21),B21,D21)))</f>
        <v>0.65</v>
      </c>
      <c r="O21" s="282">
        <f>SUM(AW21+BB21+BG21+BL21)</f>
        <v>994481.01929965313</v>
      </c>
      <c r="P21" s="33">
        <f>SUM(IF((6*(IF(ISBLANK(E21),C21,E21)))+IF(ISBLANK(D21),B21,D21) &lt; 0, 0, (6*(IF(ISBLANK(E21),C21,E21)))+IF(ISBLANK(D21),B21,D21)))</f>
        <v>0.72</v>
      </c>
      <c r="Q21" s="33">
        <f>SUM(IF((7*(IF(ISBLANK(E21),C21,E21)))+IF(ISBLANK(D21),B21,D21) &lt; 0, 0, (7*(IF(ISBLANK(E21),C21,E21)))+IF(ISBLANK(D21),B21,D21)))</f>
        <v>0.79</v>
      </c>
      <c r="R21" s="33">
        <f>SUM(IF((8*(IF(ISBLANK(E21),C21,E21)))+IF(ISBLANK(D21),B21,D21) &lt; 0, 0, (8*(IF(ISBLANK(E21),C21,E21)))+IF(ISBLANK(D21),B21,D21)))</f>
        <v>0.8600000000000001</v>
      </c>
      <c r="S21" s="33">
        <f>SUM(IF((9*(IF(ISBLANK(E21),C21,E21)))+IF(ISBLANK(D21),B21,D21) &lt; 0, 0, (9*(IF(ISBLANK(E21),C21,E21)))+IF(ISBLANK(D21),B21,D21)))</f>
        <v>0.93000000000000016</v>
      </c>
      <c r="T21" s="305">
        <f>SUM(BQ21+BV21+CA21+CF21)</f>
        <v>9471631.6668594703</v>
      </c>
      <c r="U21" s="278">
        <f>SUM(IF((11*(IF(ISBLANK(E21),C21,E21)))+IF(ISBLANK(D21),B21,D21) &lt; 0, 0, (11*(IF(ISBLANK(E21),C21,E21)))+IF(ISBLANK(D21),B21,D21)))*12</f>
        <v>12.84</v>
      </c>
      <c r="V21" s="279">
        <f>SUM(IF((13*(IF(ISBLANK(E21),C21,E21)))+IF(ISBLANK(D21),B21,D21) &lt; 0, 0, (13*(IF(ISBLANK(E21),C21,E21)))+IF(ISBLANK(D21),B21,D21)))*12</f>
        <v>14.520000000000003</v>
      </c>
      <c r="W21" s="280">
        <f>SUM(IF((15*(IF(ISBLANK(E21),C21,E21)))+IF(ISBLANK(D21),B21,D21) &lt; 0, 0, (15*(IF(ISBLANK(E21),C21,E21)))+IF(ISBLANK(D21),B21,D21)))*12</f>
        <v>16.200000000000003</v>
      </c>
      <c r="X21" s="177"/>
      <c r="Y21" s="505">
        <v>0</v>
      </c>
      <c r="Z21" s="73">
        <f>SUM(Z18*F21)</f>
        <v>0</v>
      </c>
      <c r="AA21" s="73">
        <f>SUM(AA18*F21)</f>
        <v>0</v>
      </c>
      <c r="AB21" s="73">
        <f>SUM(AB18*F21)</f>
        <v>0</v>
      </c>
      <c r="AC21" s="282">
        <f t="shared" ref="AC21:AC29" si="116">SUM(Z21:AB21)</f>
        <v>0</v>
      </c>
      <c r="AD21" s="74"/>
      <c r="AE21" s="73">
        <f>SUM(AE18*G21)</f>
        <v>0</v>
      </c>
      <c r="AF21" s="73">
        <f>SUM(AF18*G21)</f>
        <v>0</v>
      </c>
      <c r="AG21" s="73">
        <f>SUM(AG18*G21)</f>
        <v>0</v>
      </c>
      <c r="AH21" s="282">
        <f t="shared" ref="AH21:AH29" si="117">SUM(AE21:AG21)</f>
        <v>0</v>
      </c>
      <c r="AI21" s="74"/>
      <c r="AJ21" s="73">
        <f>SUM(AJ18*H21)</f>
        <v>3666.086194365404</v>
      </c>
      <c r="AK21" s="73">
        <f>SUM(AK18*H21)</f>
        <v>5945.0059846644208</v>
      </c>
      <c r="AL21" s="73">
        <f>SUM(AL18*H21)</f>
        <v>8382.8202058607349</v>
      </c>
      <c r="AM21" s="282">
        <f t="shared" ref="AM21:AM29" si="118">SUM(AJ21:AL21)</f>
        <v>17993.912384890558</v>
      </c>
      <c r="AN21" s="74"/>
      <c r="AO21" s="73">
        <f>SUM(AO18*I21)</f>
        <v>13531.826976108823</v>
      </c>
      <c r="AP21" s="73">
        <f>SUM(AP18*I21)</f>
        <v>16867.652568842143</v>
      </c>
      <c r="AQ21" s="73">
        <f>SUM(AQ18*I21)</f>
        <v>20352.675667661533</v>
      </c>
      <c r="AR21" s="282">
        <f t="shared" ref="AR21:AR29" si="119">SUM(AO21:AQ21)</f>
        <v>50752.155212612503</v>
      </c>
      <c r="AS21" s="74"/>
      <c r="AT21" s="73">
        <f>SUM(AT18*K21)</f>
        <v>28510.27031895312</v>
      </c>
      <c r="AU21" s="73">
        <f>SUM(AU18*K21)</f>
        <v>32911.967817588004</v>
      </c>
      <c r="AV21" s="73">
        <f>SUM(AV18*K21)</f>
        <v>37410.352543572917</v>
      </c>
      <c r="AW21" s="282">
        <f t="shared" ref="AW21:AW29" si="120">SUM(AT21:AV21)</f>
        <v>98832.590680114052</v>
      </c>
      <c r="AX21" s="74"/>
      <c r="AY21" s="73">
        <f>SUM(AY18*L21)</f>
        <v>49805.401640266115</v>
      </c>
      <c r="AZ21" s="73">
        <f>SUM(AZ18*L21)</f>
        <v>56267.861853439092</v>
      </c>
      <c r="BA21" s="73">
        <f>SUM(BA18*L21)</f>
        <v>62749.436548203739</v>
      </c>
      <c r="BB21" s="282">
        <f t="shared" ref="BB21:BB29" si="121">SUM(AY21:BA21)</f>
        <v>168822.70004190895</v>
      </c>
      <c r="BC21" s="74"/>
      <c r="BD21" s="73">
        <f>SUM(BD18*M21)</f>
        <v>81204.465933517145</v>
      </c>
      <c r="BE21" s="73">
        <f>SUM(BE18*M21)</f>
        <v>91105.340820162412</v>
      </c>
      <c r="BF21" s="73">
        <f>SUM(BF18*M21)</f>
        <v>101065.07683352007</v>
      </c>
      <c r="BG21" s="282">
        <f t="shared" ref="BG21:BG29" si="122">SUM(BD21:BF21)</f>
        <v>273374.88358719961</v>
      </c>
      <c r="BH21" s="74"/>
      <c r="BI21" s="73">
        <f>SUM(BI18*N21)</f>
        <v>132019.0802348232</v>
      </c>
      <c r="BJ21" s="73">
        <f>SUM(BJ18*N21)</f>
        <v>151055.55997437856</v>
      </c>
      <c r="BK21" s="73">
        <f>SUM(BK18*N21)</f>
        <v>170376.20478122879</v>
      </c>
      <c r="BL21" s="282">
        <f t="shared" ref="BL21:BL29" si="123">SUM(BI21:BK21)</f>
        <v>453450.84499043052</v>
      </c>
      <c r="BM21" s="74"/>
      <c r="BN21" s="73">
        <f>SUM(BN18*P21)</f>
        <v>223671.89103317776</v>
      </c>
      <c r="BO21" s="73">
        <f>SUM(BO18*P21)</f>
        <v>259454.56812946909</v>
      </c>
      <c r="BP21" s="73">
        <f>SUM(BP18*P21)</f>
        <v>296092.40283022739</v>
      </c>
      <c r="BQ21" s="282">
        <f t="shared" ref="BQ21:BQ29" si="124">SUM(BN21:BP21)</f>
        <v>779218.86199287418</v>
      </c>
      <c r="BR21" s="74"/>
      <c r="BS21" s="73">
        <f>SUM(BS18*Q21)</f>
        <v>391111.20392141311</v>
      </c>
      <c r="BT21" s="73">
        <f>SUM(BT18*Q21)</f>
        <v>459519.18632545683</v>
      </c>
      <c r="BU21" s="73">
        <f>SUM(BU18*Q21)</f>
        <v>530174.59838042897</v>
      </c>
      <c r="BV21" s="282">
        <f t="shared" ref="BV21:BV29" si="125">SUM(BS21:BU21)</f>
        <v>1380804.988627299</v>
      </c>
      <c r="BW21" s="74"/>
      <c r="BX21" s="73">
        <f>SUM(BX18*R21)</f>
        <v>706196.4139810357</v>
      </c>
      <c r="BY21" s="73">
        <f>SUM(BY18*R21)</f>
        <v>840632.30477463733</v>
      </c>
      <c r="BZ21" s="73">
        <f>SUM(BZ18*R21)</f>
        <v>980685.03082776396</v>
      </c>
      <c r="CA21" s="282">
        <f t="shared" ref="CA21:CA29" si="126">SUM(BX21:BZ21)</f>
        <v>2527513.7495834371</v>
      </c>
      <c r="CB21" s="74"/>
      <c r="CC21" s="73">
        <f>SUM(CC18*S21)</f>
        <v>1318769.9968066826</v>
      </c>
      <c r="CD21" s="73">
        <f>SUM(CD18*S21)</f>
        <v>1590115.7431348311</v>
      </c>
      <c r="CE21" s="73">
        <f>SUM(CE18*S21)</f>
        <v>1875208.3267143478</v>
      </c>
      <c r="CF21" s="282">
        <f t="shared" ref="CF21:CF29" si="127">SUM(CC21:CE21)</f>
        <v>4784094.0666558612</v>
      </c>
      <c r="CG21" s="88"/>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57" t="s">
        <v>192</v>
      </c>
      <c r="B22" s="278">
        <v>0.27</v>
      </c>
      <c r="C22" s="304">
        <v>7.0000000000000007E-2</v>
      </c>
      <c r="D22" s="121"/>
      <c r="E22" s="120"/>
      <c r="F22" s="129">
        <v>0</v>
      </c>
      <c r="G22" s="128">
        <v>0</v>
      </c>
      <c r="H22" s="33">
        <f t="shared" ref="H22" si="128">SUM(IF(ISBLANK(D22),B22,D22))</f>
        <v>0.27</v>
      </c>
      <c r="I22" s="33">
        <f t="shared" ref="I22" si="129">SUM(IF((1*(IF(ISBLANK(E22),C22,E22)))+IF(ISBLANK(D22),B22,D22) &lt; 0, 0, (1*(IF(ISBLANK(E22),C22,E22)))+IF(ISBLANK(D22),B22,D22)))</f>
        <v>0.34</v>
      </c>
      <c r="J22" s="282">
        <f>SUM(AC22+AH22+AM22+AR22)</f>
        <v>46637.115600779056</v>
      </c>
      <c r="K22" s="33">
        <f t="shared" ref="K22" si="130">SUM(IF((2*(IF(ISBLANK(E22),C22,E22)))+IF(ISBLANK(D22),B22,D22) &lt; 0, 0, (2*(IF(ISBLANK(E22),C22,E22)))+IF(ISBLANK(D22),B22,D22)))</f>
        <v>0.41000000000000003</v>
      </c>
      <c r="L22" s="33">
        <f t="shared" ref="L22" si="131">SUM(IF((3*(IF(ISBLANK(E22),C22,E22)))+IF(ISBLANK(D22),B22,D22) &lt; 0, 0, (3*(IF(ISBLANK(E22),C22,E22)))+IF(ISBLANK(D22),B22,D22)))</f>
        <v>0.48000000000000004</v>
      </c>
      <c r="M22" s="33">
        <f t="shared" ref="M22" si="132">SUM(IF((4*(IF(ISBLANK(E22),C22,E22)))+IF(ISBLANK(D22),B22,D22) &lt; 0, 0, (4*(IF(ISBLANK(E22),C22,E22)))+IF(ISBLANK(D22),B22,D22)))</f>
        <v>0.55000000000000004</v>
      </c>
      <c r="N22" s="33">
        <f t="shared" ref="N22" si="133">SUM(IF((5*(IF(ISBLANK(E22),C22,E22)))+IF(ISBLANK(D22),B22,D22) &lt; 0, 0, (5*(IF(ISBLANK(E22),C22,E22)))+IF(ISBLANK(D22),B22,D22)))</f>
        <v>0.62000000000000011</v>
      </c>
      <c r="O22" s="282">
        <f t="shared" ref="O22:O29" si="134">SUM(AW22+BB22+BG22+BL22)</f>
        <v>942743.10578661016</v>
      </c>
      <c r="P22" s="33">
        <f t="shared" ref="P22" si="135">SUM(IF((6*(IF(ISBLANK(E22),C22,E22)))+IF(ISBLANK(D22),B22,D22) &lt; 0, 0, (6*(IF(ISBLANK(E22),C22,E22)))+IF(ISBLANK(D22),B22,D22)))</f>
        <v>0.69000000000000006</v>
      </c>
      <c r="Q22" s="33">
        <f t="shared" ref="Q22" si="136">SUM(IF((7*(IF(ISBLANK(E22),C22,E22)))+IF(ISBLANK(D22),B22,D22) &lt; 0, 0, (7*(IF(ISBLANK(E22),C22,E22)))+IF(ISBLANK(D22),B22,D22)))</f>
        <v>0.76</v>
      </c>
      <c r="R22" s="33">
        <f t="shared" ref="R22" si="137">SUM(IF((8*(IF(ISBLANK(E22),C22,E22)))+IF(ISBLANK(D22),B22,D22) &lt; 0, 0, (8*(IF(ISBLANK(E22),C22,E22)))+IF(ISBLANK(D22),B22,D22)))</f>
        <v>0.83000000000000007</v>
      </c>
      <c r="S22" s="33">
        <f t="shared" ref="S22" si="138">SUM(IF((9*(IF(ISBLANK(E22),C22,E22)))+IF(ISBLANK(D22),B22,D22) &lt; 0, 0, (9*(IF(ISBLANK(E22),C22,E22)))+IF(ISBLANK(D22),B22,D22)))</f>
        <v>0.90000000000000013</v>
      </c>
      <c r="T22" s="305">
        <f t="shared" ref="T22:T29" si="139">SUM(BQ22+BV22+CA22+CF22)</f>
        <v>9144233.8824557085</v>
      </c>
      <c r="U22" s="278">
        <f>SUM(IF((11*(IF(ISBLANK(E22),C22,E22)))+IF(ISBLANK(D22),B22,D22) &lt; 0, 0, (11*(IF(ISBLANK(E22),C22,E22)))+IF(ISBLANK(D22),B22,D22)))*12</f>
        <v>12.48</v>
      </c>
      <c r="V22" s="279">
        <f>SUM(IF((13*(IF(ISBLANK(E22),C22,E22)))+IF(ISBLANK(D22),B22,D22) &lt; 0, 0, (13*(IF(ISBLANK(E22),C22,E22)))+IF(ISBLANK(D22),B22,D22)))*12</f>
        <v>14.160000000000002</v>
      </c>
      <c r="W22" s="280">
        <f>SUM(IF((15*(IF(ISBLANK(E22),C22,E22)))+IF(ISBLANK(D22),B22,D22) &lt; 0, 0, (15*(IF(ISBLANK(E22),C22,E22)))+IF(ISBLANK(D22),B22,D22)))*12</f>
        <v>15.84</v>
      </c>
      <c r="X22" s="177"/>
      <c r="Y22" s="505">
        <v>0</v>
      </c>
      <c r="Z22" s="73">
        <f>SUM(Z18*F22)</f>
        <v>0</v>
      </c>
      <c r="AA22" s="73">
        <f>SUM(AA18*F22)</f>
        <v>0</v>
      </c>
      <c r="AB22" s="73">
        <f>SUM(AB18*F22)</f>
        <v>0</v>
      </c>
      <c r="AC22" s="282">
        <f t="shared" si="116"/>
        <v>0</v>
      </c>
      <c r="AD22" s="74"/>
      <c r="AE22" s="73">
        <f>SUM(AE18*G22)</f>
        <v>0</v>
      </c>
      <c r="AF22" s="73">
        <f>SUM(AF18*G22)</f>
        <v>0</v>
      </c>
      <c r="AG22" s="73">
        <f>SUM(AG18*G22)</f>
        <v>0</v>
      </c>
      <c r="AH22" s="282">
        <f t="shared" si="117"/>
        <v>0</v>
      </c>
      <c r="AI22" s="74"/>
      <c r="AJ22" s="73">
        <f t="shared" ref="AJ22:AJ28" si="140">SUM(AJ19*H22)</f>
        <v>0</v>
      </c>
      <c r="AK22" s="73">
        <f t="shared" ref="AK22:AK28" si="141">SUM(AK19*H22)</f>
        <v>0</v>
      </c>
      <c r="AL22" s="73">
        <f t="shared" ref="AL22:AL28" si="142">SUM(AL19*H22)</f>
        <v>0</v>
      </c>
      <c r="AM22" s="282">
        <f t="shared" si="118"/>
        <v>0</v>
      </c>
      <c r="AN22" s="74"/>
      <c r="AO22" s="73">
        <f>SUM(AO18*I22)</f>
        <v>12434.651815883784</v>
      </c>
      <c r="AP22" s="73">
        <f>SUM(AP18*I22)</f>
        <v>15500.005063260351</v>
      </c>
      <c r="AQ22" s="73">
        <f>SUM(AQ18*I22)</f>
        <v>18702.458721634925</v>
      </c>
      <c r="AR22" s="282">
        <f t="shared" si="119"/>
        <v>46637.115600779056</v>
      </c>
      <c r="AS22" s="74"/>
      <c r="AT22" s="73">
        <f>SUM(AT18*K22)</f>
        <v>26566.38825175177</v>
      </c>
      <c r="AU22" s="73">
        <f>SUM(AU18*K22)</f>
        <v>30667.970011843368</v>
      </c>
      <c r="AV22" s="73">
        <f>SUM(AV18*K22)</f>
        <v>34859.646688329311</v>
      </c>
      <c r="AW22" s="282">
        <f t="shared" si="120"/>
        <v>92094.004951924449</v>
      </c>
      <c r="AX22" s="74"/>
      <c r="AY22" s="73">
        <f>SUM(AY18*L22)</f>
        <v>46875.67213201517</v>
      </c>
      <c r="AZ22" s="73">
        <f>SUM(AZ18*L22)</f>
        <v>52957.987626766211</v>
      </c>
      <c r="BA22" s="73">
        <f>SUM(BA18*L22)</f>
        <v>59058.293221838816</v>
      </c>
      <c r="BB22" s="282">
        <f t="shared" si="121"/>
        <v>158891.9529806202</v>
      </c>
      <c r="BC22" s="74"/>
      <c r="BD22" s="73">
        <f>SUM(BD18*M22)</f>
        <v>77004.234936955909</v>
      </c>
      <c r="BE22" s="73">
        <f>SUM(BE18*M22)</f>
        <v>86392.995605326418</v>
      </c>
      <c r="BF22" s="73">
        <f>SUM(BF18*M22)</f>
        <v>95837.572859372478</v>
      </c>
      <c r="BG22" s="282">
        <f t="shared" si="122"/>
        <v>259234.80340165482</v>
      </c>
      <c r="BH22" s="74"/>
      <c r="BI22" s="73">
        <f>SUM(BI18*N22)</f>
        <v>125925.89191629289</v>
      </c>
      <c r="BJ22" s="73">
        <f>SUM(BJ18*N22)</f>
        <v>144083.76489863804</v>
      </c>
      <c r="BK22" s="73">
        <f>SUM(BK18*N22)</f>
        <v>162512.68763747977</v>
      </c>
      <c r="BL22" s="282">
        <f t="shared" si="123"/>
        <v>432522.3444524107</v>
      </c>
      <c r="BM22" s="74"/>
      <c r="BN22" s="73">
        <f>SUM(BN18*P22)</f>
        <v>214352.22890679538</v>
      </c>
      <c r="BO22" s="73">
        <f>SUM(BO18*P22)</f>
        <v>248643.96112407456</v>
      </c>
      <c r="BP22" s="73">
        <f>SUM(BP18*P22)</f>
        <v>283755.21937896794</v>
      </c>
      <c r="BQ22" s="282">
        <f t="shared" si="124"/>
        <v>746751.4094098378</v>
      </c>
      <c r="BR22" s="74"/>
      <c r="BS22" s="73">
        <f>SUM(BS18*Q22)</f>
        <v>376258.87972186576</v>
      </c>
      <c r="BT22" s="73">
        <f>SUM(BT18*Q22)</f>
        <v>442069.09064221161</v>
      </c>
      <c r="BU22" s="73">
        <f>SUM(BU18*Q22)</f>
        <v>510041.38578370388</v>
      </c>
      <c r="BV22" s="282">
        <f t="shared" si="125"/>
        <v>1328369.3561477812</v>
      </c>
      <c r="BW22" s="74"/>
      <c r="BX22" s="73">
        <f>SUM(BX18*R22)</f>
        <v>681561.65535379027</v>
      </c>
      <c r="BY22" s="73">
        <f>SUM(BY18*R22)</f>
        <v>811307.92204994068</v>
      </c>
      <c r="BZ22" s="73">
        <f>SUM(BZ18*R22)</f>
        <v>946475.08789191174</v>
      </c>
      <c r="CA22" s="282">
        <f t="shared" si="126"/>
        <v>2439344.6652956428</v>
      </c>
      <c r="CB22" s="74"/>
      <c r="CC22" s="73">
        <f>SUM(CC18*S22)</f>
        <v>1276229.0291677574</v>
      </c>
      <c r="CD22" s="73">
        <f>SUM(CD18*S22)</f>
        <v>1538821.6869046751</v>
      </c>
      <c r="CE22" s="73">
        <f>SUM(CE18*S22)</f>
        <v>1814717.7355300139</v>
      </c>
      <c r="CF22" s="282">
        <f t="shared" si="127"/>
        <v>4629768.4516024468</v>
      </c>
      <c r="CG22" s="88"/>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57" t="s">
        <v>193</v>
      </c>
      <c r="B23" s="278">
        <v>0.02</v>
      </c>
      <c r="C23" s="304">
        <v>7.0000000000000007E-2</v>
      </c>
      <c r="D23" s="121"/>
      <c r="E23" s="120"/>
      <c r="F23" s="129">
        <v>0</v>
      </c>
      <c r="G23" s="128">
        <v>0</v>
      </c>
      <c r="H23" s="360">
        <v>0</v>
      </c>
      <c r="I23" s="360">
        <v>0</v>
      </c>
      <c r="J23" s="282">
        <f t="shared" ref="J23:J29" si="143">SUM(AC23+AH23+AM23+AR23)</f>
        <v>0</v>
      </c>
      <c r="K23" s="33">
        <f>SUM(IF((0*(IF(ISBLANK(E23),C23,E23)))+IF(ISBLANK(D23),B23,D23) &lt; 0, 0, (0*(IF(ISBLANK(E23),C23,E23)))+IF(ISBLANK(D23),B23,D23)))</f>
        <v>0.02</v>
      </c>
      <c r="L23" s="33">
        <f>SUM(IF((1*(IF(ISBLANK(E23),C23,E23)))+IF(ISBLANK(D23),B23,D23) &lt; 0, 0, (1*(IF(ISBLANK(E23),C23,E23)))+IF(ISBLANK(D23),B23,D23)))</f>
        <v>9.0000000000000011E-2</v>
      </c>
      <c r="M23" s="33">
        <f>SUM(IF((2*(IF(ISBLANK(E23),C23,E23)))+IF(ISBLANK(D23),B23,D23) &lt; 0, 0, (2*(IF(ISBLANK(E23),C23,E23)))+IF(ISBLANK(D23),B23,D23)))</f>
        <v>0.16</v>
      </c>
      <c r="N23" s="33">
        <f>SUM(IF((3*(IF(ISBLANK(E23),C23,E23)))+IF(ISBLANK(D23),B23,D23) &lt; 0, 0, (3*(IF(ISBLANK(E23),C23,E23)))+IF(ISBLANK(D23),B23,D23)))</f>
        <v>0.23</v>
      </c>
      <c r="O23" s="282">
        <f t="shared" si="134"/>
        <v>270150.2301170507</v>
      </c>
      <c r="P23" s="33">
        <f>SUM(IF((4*(IF(ISBLANK(E23),C23,E23)))+IF(ISBLANK(D23),B23,D23) &lt; 0, 0, (4*(IF(ISBLANK(E23),C23,E23)))+IF(ISBLANK(D23),B23,D23)))</f>
        <v>0.30000000000000004</v>
      </c>
      <c r="Q23" s="33">
        <f>SUM(IF((5*(IF(ISBLANK(E23),C23,E23)))+IF(ISBLANK(D23),B23,D23) &lt; 0, 0, (5*(IF(ISBLANK(E23),C23,E23)))+IF(ISBLANK(D23),B23,D23)))</f>
        <v>0.37000000000000005</v>
      </c>
      <c r="R23" s="33">
        <f>SUM(IF((6*(IF(ISBLANK(E23),C23,E23)))+IF(ISBLANK(D23),B23,D23) &lt; 0, 0, (6*(IF(ISBLANK(E23),C23,E23)))+IF(ISBLANK(D23),B23,D23)))</f>
        <v>0.44000000000000006</v>
      </c>
      <c r="S23" s="33">
        <f>SUM(IF((7*(IF(ISBLANK(E23),C23,E23)))+IF(ISBLANK(D23),B23,D23) &lt; 0, 0, (7*(IF(ISBLANK(E23),C23,E23)))+IF(ISBLANK(D23),B23,D23)))</f>
        <v>0.51</v>
      </c>
      <c r="T23" s="305">
        <f t="shared" si="139"/>
        <v>4888062.6852067849</v>
      </c>
      <c r="U23" s="278">
        <f>SUM(IF((9*(IF(ISBLANK(E23),C23,E23)))+IF(ISBLANK(D23),B23,D23) &lt; 0, 0, (9*(IF(ISBLANK(E23),C23,E23)))+IF(ISBLANK(D23),B23,D23)))*12</f>
        <v>7.8000000000000016</v>
      </c>
      <c r="V23" s="279">
        <f>SUM(IF((11*(IF(ISBLANK(E23),C23,E23)))+IF(ISBLANK(D23),B23,D23) &lt; 0, 0, (11*(IF(ISBLANK(E23),C23,E23)))+IF(ISBLANK(D23),B23,D23)))*12</f>
        <v>9.48</v>
      </c>
      <c r="W23" s="280">
        <f>SUM(IF((13*(IF(ISBLANK(E23),C23,E23)))+IF(ISBLANK(D23),B23,D23) &lt; 0, 0, (13*(IF(ISBLANK(E23),C23,E23)))+IF(ISBLANK(D23),B23,D23)))*12</f>
        <v>11.160000000000002</v>
      </c>
      <c r="X23" s="177"/>
      <c r="Y23" s="505">
        <v>0</v>
      </c>
      <c r="Z23" s="73">
        <f>SUM(Z18*F23)</f>
        <v>0</v>
      </c>
      <c r="AA23" s="73">
        <f>SUM(AA18*F23)</f>
        <v>0</v>
      </c>
      <c r="AB23" s="73">
        <f>SUM(AB18*F23)</f>
        <v>0</v>
      </c>
      <c r="AC23" s="282">
        <f t="shared" si="116"/>
        <v>0</v>
      </c>
      <c r="AD23" s="74"/>
      <c r="AE23" s="73">
        <f>SUM(AE18*G23)</f>
        <v>0</v>
      </c>
      <c r="AF23" s="73">
        <f>SUM(AF18*G23)</f>
        <v>0</v>
      </c>
      <c r="AG23" s="73">
        <f>SUM(AG18*G23)</f>
        <v>0</v>
      </c>
      <c r="AH23" s="282">
        <f t="shared" si="117"/>
        <v>0</v>
      </c>
      <c r="AI23" s="74"/>
      <c r="AJ23" s="73">
        <f t="shared" si="140"/>
        <v>0</v>
      </c>
      <c r="AK23" s="73">
        <f t="shared" si="141"/>
        <v>0</v>
      </c>
      <c r="AL23" s="73">
        <f t="shared" si="142"/>
        <v>0</v>
      </c>
      <c r="AM23" s="282">
        <f t="shared" si="118"/>
        <v>0</v>
      </c>
      <c r="AN23" s="74"/>
      <c r="AO23" s="73">
        <f>SUM(AO18*I23)</f>
        <v>0</v>
      </c>
      <c r="AP23" s="73">
        <f>SUM(AP18*I23)</f>
        <v>0</v>
      </c>
      <c r="AQ23" s="73">
        <f>SUM(AQ18*I23)</f>
        <v>0</v>
      </c>
      <c r="AR23" s="282">
        <f t="shared" si="119"/>
        <v>0</v>
      </c>
      <c r="AS23" s="74"/>
      <c r="AT23" s="73">
        <f>SUM(AT18*K23)</f>
        <v>1295.9213781342328</v>
      </c>
      <c r="AU23" s="73">
        <f>SUM(AU18*K23)</f>
        <v>1495.998537163091</v>
      </c>
      <c r="AV23" s="73">
        <f>SUM(AV18*K23)</f>
        <v>1700.4705701624052</v>
      </c>
      <c r="AW23" s="282">
        <f t="shared" si="120"/>
        <v>4492.3904854597295</v>
      </c>
      <c r="AX23" s="74"/>
      <c r="AY23" s="73">
        <f>SUM(AY18*L23)</f>
        <v>8789.1885247528444</v>
      </c>
      <c r="AZ23" s="73">
        <f>SUM(AZ18*L23)</f>
        <v>9929.6226800186651</v>
      </c>
      <c r="BA23" s="73">
        <f>SUM(BA18*L23)</f>
        <v>11073.429979094779</v>
      </c>
      <c r="BB23" s="282">
        <f t="shared" si="121"/>
        <v>29792.241183866288</v>
      </c>
      <c r="BC23" s="74"/>
      <c r="BD23" s="73">
        <f>SUM(BD18*M23)</f>
        <v>22401.231981659901</v>
      </c>
      <c r="BE23" s="73">
        <f>SUM(BE18*M23)</f>
        <v>25132.507812458593</v>
      </c>
      <c r="BF23" s="73">
        <f>SUM(BF18*M23)</f>
        <v>27880.02119545381</v>
      </c>
      <c r="BG23" s="282">
        <f t="shared" si="122"/>
        <v>75413.7609895723</v>
      </c>
      <c r="BH23" s="74"/>
      <c r="BI23" s="73">
        <f>SUM(BI18*N23)</f>
        <v>46714.44377539897</v>
      </c>
      <c r="BJ23" s="73">
        <f>SUM(BJ18*N23)</f>
        <v>53450.428914010874</v>
      </c>
      <c r="BK23" s="73">
        <f>SUM(BK18*N23)</f>
        <v>60286.964768742495</v>
      </c>
      <c r="BL23" s="282">
        <f t="shared" si="123"/>
        <v>160451.83745815235</v>
      </c>
      <c r="BM23" s="74"/>
      <c r="BN23" s="73">
        <f>SUM(BN18*P23)</f>
        <v>93196.621263824083</v>
      </c>
      <c r="BO23" s="73">
        <f>SUM(BO18*P23)</f>
        <v>108106.07005394547</v>
      </c>
      <c r="BP23" s="73">
        <f>SUM(BP18*P23)</f>
        <v>123371.83451259477</v>
      </c>
      <c r="BQ23" s="282">
        <f t="shared" si="124"/>
        <v>324674.52583036432</v>
      </c>
      <c r="BR23" s="74"/>
      <c r="BS23" s="73">
        <f>SUM(BS18*Q23)</f>
        <v>183178.66512775046</v>
      </c>
      <c r="BT23" s="73">
        <f>SUM(BT18*Q23)</f>
        <v>215217.84676002408</v>
      </c>
      <c r="BU23" s="73">
        <f>SUM(BU18*Q23)</f>
        <v>248309.62202627692</v>
      </c>
      <c r="BV23" s="282">
        <f t="shared" si="125"/>
        <v>646706.13391405146</v>
      </c>
      <c r="BW23" s="74"/>
      <c r="BX23" s="73">
        <f>SUM(BX18*R23)</f>
        <v>361309.79319959966</v>
      </c>
      <c r="BY23" s="73">
        <f>SUM(BY18*R23)</f>
        <v>430090.94662888424</v>
      </c>
      <c r="BZ23" s="73">
        <f>SUM(BZ18*R23)</f>
        <v>501745.82972583274</v>
      </c>
      <c r="CA23" s="282">
        <f t="shared" si="126"/>
        <v>1293146.5695543166</v>
      </c>
      <c r="CB23" s="74"/>
      <c r="CC23" s="73">
        <f>SUM(CC18*S23)</f>
        <v>723196.44986172905</v>
      </c>
      <c r="CD23" s="73">
        <f>SUM(CD18*S23)</f>
        <v>871998.95591264917</v>
      </c>
      <c r="CE23" s="73">
        <f>SUM(CE18*S23)</f>
        <v>1028340.0501336745</v>
      </c>
      <c r="CF23" s="282">
        <f t="shared" si="127"/>
        <v>2623535.4559080526</v>
      </c>
      <c r="CG23" s="88"/>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57" t="s">
        <v>194</v>
      </c>
      <c r="B24" s="278">
        <v>0.01</v>
      </c>
      <c r="C24" s="304">
        <v>0.1</v>
      </c>
      <c r="D24" s="121"/>
      <c r="E24" s="120"/>
      <c r="F24" s="129">
        <v>0</v>
      </c>
      <c r="G24" s="128">
        <v>0</v>
      </c>
      <c r="H24" s="360">
        <v>0</v>
      </c>
      <c r="I24" s="360">
        <v>0</v>
      </c>
      <c r="J24" s="282">
        <f t="shared" si="143"/>
        <v>0</v>
      </c>
      <c r="K24" s="33">
        <f>SUM(IF((0*(IF(ISBLANK(E24),C24,E24)))+IF(ISBLANK(D24),B24,D24) &lt; 0, 0, (0*(IF(ISBLANK(E24),C24,E24)))+IF(ISBLANK(D24),B24,D24)))</f>
        <v>0.01</v>
      </c>
      <c r="L24" s="33">
        <f>SUM(IF((1*(IF(ISBLANK(E24),C24,E24)))+IF(ISBLANK(D24),B24,D24) &lt; 0, 0, (1*(IF(ISBLANK(E24),C24,E24)))+IF(ISBLANK(D24),B24,D24)))</f>
        <v>0.11</v>
      </c>
      <c r="M24" s="33">
        <f>SUM(IF((2*(IF(ISBLANK(E24),C24,E24)))+IF(ISBLANK(D24),B24,D24) &lt; 0, 0, (2*(IF(ISBLANK(E24),C24,E24)))+IF(ISBLANK(D24),B24,D24)))</f>
        <v>0.21000000000000002</v>
      </c>
      <c r="N24" s="33">
        <f>SUM(IF((3*(IF(ISBLANK(E24),C24,E24)))+IF(ISBLANK(D24),B24,D24) &lt; 0, 0, (3*(IF(ISBLANK(E24),C24,E24)))+IF(ISBLANK(D24),B24,D24)))</f>
        <v>0.31000000000000005</v>
      </c>
      <c r="O24" s="282">
        <f t="shared" si="134"/>
        <v>353900.66799247434</v>
      </c>
      <c r="P24" s="33">
        <f>SUM(IF((4*(IF(ISBLANK(E24),C24,E24)))+IF(ISBLANK(D24),B24,D24) &lt; 0, 0, (4*(IF(ISBLANK(E24),C24,E24)))+IF(ISBLANK(D24),B24,D24)))</f>
        <v>0.41000000000000003</v>
      </c>
      <c r="Q24" s="33">
        <f>SUM(IF((5*(IF(ISBLANK(E24),C24,E24)))+IF(ISBLANK(D24),B24,D24) &lt; 0, 0, (5*(IF(ISBLANK(E24),C24,E24)))+IF(ISBLANK(D24),B24,D24)))</f>
        <v>0.51</v>
      </c>
      <c r="R24" s="33">
        <f>SUM(IF((6*(IF(ISBLANK(E24),C24,E24)))+IF(ISBLANK(D24),B24,D24) &lt; 0, 0, (6*(IF(ISBLANK(E24),C24,E24)))+IF(ISBLANK(D24),B24,D24)))</f>
        <v>0.6100000000000001</v>
      </c>
      <c r="S24" s="33">
        <f>SUM(IF((7*(IF(ISBLANK(E24),C24,E24)))+IF(ISBLANK(D24),B24,D24) &lt; 0, 0, (7*(IF(ISBLANK(E24),C24,E24)))+IF(ISBLANK(D24),B24,D24)))</f>
        <v>0.71000000000000008</v>
      </c>
      <c r="T24" s="305">
        <f t="shared" si="139"/>
        <v>6780271.8742359355</v>
      </c>
      <c r="U24" s="278">
        <f>SUM(IF((9*(IF(ISBLANK(E24),C24,E24)))+IF(ISBLANK(D24),B24,D24) &lt; 0, 0, (9*(IF(ISBLANK(E24),C24,E24)))+IF(ISBLANK(D24),B24,D24)))*12</f>
        <v>10.92</v>
      </c>
      <c r="V24" s="279">
        <f>SUM(IF((11*(IF(ISBLANK(E24),C24,E24)))+IF(ISBLANK(D24),B24,D24) &lt; 0, 0, (11*(IF(ISBLANK(E24),C24,E24)))+IF(ISBLANK(D24),B24,D24)))*12</f>
        <v>13.32</v>
      </c>
      <c r="W24" s="280">
        <f>SUM(IF((13*(IF(ISBLANK(E24),C24,E24)))+IF(ISBLANK(D24),B24,D24) &lt; 0, 0, (13*(IF(ISBLANK(E24),C24,E24)))+IF(ISBLANK(D24),B24,D24)))*12</f>
        <v>15.72</v>
      </c>
      <c r="X24" s="177"/>
      <c r="Y24" s="505">
        <v>0</v>
      </c>
      <c r="Z24" s="73">
        <f>SUM(Z18*F24)</f>
        <v>0</v>
      </c>
      <c r="AA24" s="73">
        <f>SUM(AA18*F24)</f>
        <v>0</v>
      </c>
      <c r="AB24" s="73">
        <f>SUM(AB18*F24)</f>
        <v>0</v>
      </c>
      <c r="AC24" s="282">
        <f t="shared" si="116"/>
        <v>0</v>
      </c>
      <c r="AD24" s="74"/>
      <c r="AE24" s="73">
        <f>SUM(AE18*G24)</f>
        <v>0</v>
      </c>
      <c r="AF24" s="73">
        <f>SUM(AF18*G24)</f>
        <v>0</v>
      </c>
      <c r="AG24" s="73">
        <f>SUM(AG18*G24)</f>
        <v>0</v>
      </c>
      <c r="AH24" s="282">
        <f t="shared" si="117"/>
        <v>0</v>
      </c>
      <c r="AI24" s="74"/>
      <c r="AJ24" s="73">
        <f t="shared" si="140"/>
        <v>0</v>
      </c>
      <c r="AK24" s="73">
        <f t="shared" si="141"/>
        <v>0</v>
      </c>
      <c r="AL24" s="73">
        <f t="shared" si="142"/>
        <v>0</v>
      </c>
      <c r="AM24" s="282">
        <f t="shared" si="118"/>
        <v>0</v>
      </c>
      <c r="AN24" s="74"/>
      <c r="AO24" s="73">
        <f>SUM(AO18*I24)</f>
        <v>0</v>
      </c>
      <c r="AP24" s="73">
        <f>SUM(AP18*I24)</f>
        <v>0</v>
      </c>
      <c r="AQ24" s="73">
        <f>SUM(AQ18*I24)</f>
        <v>0</v>
      </c>
      <c r="AR24" s="282">
        <f t="shared" si="119"/>
        <v>0</v>
      </c>
      <c r="AS24" s="74"/>
      <c r="AT24" s="73">
        <f>SUM(AT18*K24)</f>
        <v>647.96068906711639</v>
      </c>
      <c r="AU24" s="73">
        <f>SUM(AU18*K24)</f>
        <v>747.99926858154549</v>
      </c>
      <c r="AV24" s="73">
        <f>SUM(AV18*K24)</f>
        <v>850.23528508120262</v>
      </c>
      <c r="AW24" s="282">
        <f t="shared" si="120"/>
        <v>2246.1952427298647</v>
      </c>
      <c r="AX24" s="74"/>
      <c r="AY24" s="73">
        <f>SUM(AY18*L24)</f>
        <v>10742.341530253476</v>
      </c>
      <c r="AZ24" s="73">
        <f>SUM(AZ18*L24)</f>
        <v>12136.205497800589</v>
      </c>
      <c r="BA24" s="73">
        <f>SUM(BA18*L24)</f>
        <v>13534.192196671394</v>
      </c>
      <c r="BB24" s="282">
        <f t="shared" si="121"/>
        <v>36412.739224725461</v>
      </c>
      <c r="BC24" s="74"/>
      <c r="BD24" s="73">
        <f>SUM(BD18*M24)</f>
        <v>29401.61697592862</v>
      </c>
      <c r="BE24" s="73">
        <f>SUM(BE18*M24)</f>
        <v>32986.416503851906</v>
      </c>
      <c r="BF24" s="73">
        <f>SUM(BF18*M24)</f>
        <v>36592.52781903313</v>
      </c>
      <c r="BG24" s="282">
        <f t="shared" si="122"/>
        <v>98980.561298813656</v>
      </c>
      <c r="BH24" s="74"/>
      <c r="BI24" s="73">
        <f>SUM(BI18*N24)</f>
        <v>62962.945958146447</v>
      </c>
      <c r="BJ24" s="73">
        <f>SUM(BJ18*N24)</f>
        <v>72041.882449319019</v>
      </c>
      <c r="BK24" s="73">
        <f>SUM(BK18*N24)</f>
        <v>81256.343818739886</v>
      </c>
      <c r="BL24" s="282">
        <f t="shared" si="123"/>
        <v>216261.17222620535</v>
      </c>
      <c r="BM24" s="74"/>
      <c r="BN24" s="73">
        <f>SUM(BN18*P24)</f>
        <v>127368.71572722623</v>
      </c>
      <c r="BO24" s="73">
        <f>SUM(BO18*P24)</f>
        <v>147744.9624070588</v>
      </c>
      <c r="BP24" s="73">
        <f>SUM(BP18*P24)</f>
        <v>168608.1738338795</v>
      </c>
      <c r="BQ24" s="282">
        <f t="shared" si="124"/>
        <v>443721.85196816456</v>
      </c>
      <c r="BR24" s="74"/>
      <c r="BS24" s="73">
        <f>SUM(BS18*Q24)</f>
        <v>252489.51139230464</v>
      </c>
      <c r="BT24" s="73">
        <f>SUM(BT18*Q24)</f>
        <v>296651.62661516829</v>
      </c>
      <c r="BU24" s="73">
        <f>SUM(BU18*Q24)</f>
        <v>342264.61414432758</v>
      </c>
      <c r="BV24" s="282">
        <f t="shared" si="125"/>
        <v>891405.75215180055</v>
      </c>
      <c r="BW24" s="74"/>
      <c r="BX24" s="73">
        <f>SUM(BX18*R24)</f>
        <v>500906.75875399046</v>
      </c>
      <c r="BY24" s="73">
        <f>SUM(BY18*R24)</f>
        <v>596262.44873549859</v>
      </c>
      <c r="BZ24" s="73">
        <f>SUM(BZ18*R24)</f>
        <v>695602.1730289954</v>
      </c>
      <c r="CA24" s="282">
        <f t="shared" si="126"/>
        <v>1792771.3805184844</v>
      </c>
      <c r="CB24" s="74"/>
      <c r="CC24" s="73">
        <f>SUM(CC18*S24)</f>
        <v>1006802.9007878974</v>
      </c>
      <c r="CD24" s="73">
        <f>SUM(CD18*S24)</f>
        <v>1213959.3307803548</v>
      </c>
      <c r="CE24" s="73">
        <f>SUM(CE18*S24)</f>
        <v>1431610.6580292331</v>
      </c>
      <c r="CF24" s="282">
        <f t="shared" si="127"/>
        <v>3652372.8895974853</v>
      </c>
      <c r="CG24" s="88"/>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57" t="s">
        <v>195</v>
      </c>
      <c r="B25" s="278">
        <v>0.01</v>
      </c>
      <c r="C25" s="304">
        <v>0.02</v>
      </c>
      <c r="D25" s="121"/>
      <c r="E25" s="120"/>
      <c r="F25" s="129">
        <v>0</v>
      </c>
      <c r="G25" s="128">
        <v>0</v>
      </c>
      <c r="H25" s="360">
        <v>0</v>
      </c>
      <c r="I25" s="360">
        <v>0</v>
      </c>
      <c r="J25" s="282">
        <f t="shared" si="143"/>
        <v>0</v>
      </c>
      <c r="K25" s="33">
        <f>SUM(IF((0*(IF(ISBLANK(E25),C25,E25)))+IF(ISBLANK(D25),B25,D25) &lt; 0, 0, (0*(IF(ISBLANK(E25),C25,E25)))+IF(ISBLANK(D25),B25,D25)))</f>
        <v>0.01</v>
      </c>
      <c r="L25" s="33">
        <f>SUM(IF((1*(IF(ISBLANK(E25),C25,E25)))+IF(ISBLANK(D25),B25,D25) &lt; 0, 0, (1*(IF(ISBLANK(E25),C25,E25)))+IF(ISBLANK(D25),B25,D25)))</f>
        <v>0.03</v>
      </c>
      <c r="M25" s="33">
        <f>SUM(IF((2*(IF(ISBLANK(E25),C25,E25)))+IF(ISBLANK(D25),B25,D25) &lt; 0, 0, (2*(IF(ISBLANK(E25),C25,E25)))+IF(ISBLANK(D25),B25,D25)))</f>
        <v>0.05</v>
      </c>
      <c r="N25" s="33">
        <f>SUM(IF((3*(IF(ISBLANK(E25),C25,E25)))+IF(ISBLANK(D25),B25,D25) &lt; 0, 0, (3*(IF(ISBLANK(E25),C25,E25)))+IF(ISBLANK(D25),B25,D25)))</f>
        <v>6.9999999999999993E-2</v>
      </c>
      <c r="O25" s="282">
        <f t="shared" si="134"/>
        <v>84576.910535306321</v>
      </c>
      <c r="P25" s="33">
        <f>SUM(IF((4*(IF(ISBLANK(E25),C25,E25)))+IF(ISBLANK(D25),B25,D25) &lt; 0, 0, (4*(IF(ISBLANK(E25),C25,E25)))+IF(ISBLANK(D25),B25,D25)))</f>
        <v>0.09</v>
      </c>
      <c r="Q25" s="33">
        <f>SUM(IF((5*(IF(ISBLANK(E25),C25,E25)))+IF(ISBLANK(D25),B25,D25) &lt; 0, 0, (5*(IF(ISBLANK(E25),C25,E25)))+IF(ISBLANK(D25),B25,D25)))</f>
        <v>0.11</v>
      </c>
      <c r="R25" s="33">
        <f>SUM(IF((6*(IF(ISBLANK(E25),C25,E25)))+IF(ISBLANK(D25),B25,D25) &lt; 0, 0, (6*(IF(ISBLANK(E25),C25,E25)))+IF(ISBLANK(D25),B25,D25)))</f>
        <v>0.13</v>
      </c>
      <c r="S25" s="33">
        <f>SUM(IF((7*(IF(ISBLANK(E25),C25,E25)))+IF(ISBLANK(D25),B25,D25) &lt; 0, 0, (7*(IF(ISBLANK(E25),C25,E25)))+IF(ISBLANK(D25),B25,D25)))</f>
        <v>0.15000000000000002</v>
      </c>
      <c r="T25" s="305">
        <f t="shared" si="139"/>
        <v>1443360.4506881905</v>
      </c>
      <c r="U25" s="278">
        <f>SUM(IF((9*(IF(ISBLANK(E25),C25,E25)))+IF(ISBLANK(D25),B25,D25) &lt; 0, 0, (9*(IF(ISBLANK(E25),C25,E25)))+IF(ISBLANK(D25),B25,D25)))*12</f>
        <v>2.2800000000000002</v>
      </c>
      <c r="V25" s="279">
        <f>SUM(IF((11*(IF(ISBLANK(E25),C25,E25)))+IF(ISBLANK(D25),B25,D25) &lt; 0, 0, (11*(IF(ISBLANK(E25),C25,E25)))+IF(ISBLANK(D25),B25,D25)))*12</f>
        <v>2.7600000000000002</v>
      </c>
      <c r="W25" s="280">
        <f>SUM(IF((13*(IF(ISBLANK(E25),C25,E25)))+IF(ISBLANK(D25),B25,D25) &lt; 0, 0, (13*(IF(ISBLANK(E25),C25,E25)))+IF(ISBLANK(D25),B25,D25)))*12</f>
        <v>3.24</v>
      </c>
      <c r="X25" s="177"/>
      <c r="Y25" s="505">
        <v>0</v>
      </c>
      <c r="Z25" s="73">
        <f>SUM(Z18*F25)</f>
        <v>0</v>
      </c>
      <c r="AA25" s="73">
        <f>SUM(AA18*F25)</f>
        <v>0</v>
      </c>
      <c r="AB25" s="73">
        <f>SUM(AB18*F25)</f>
        <v>0</v>
      </c>
      <c r="AC25" s="282">
        <f t="shared" si="116"/>
        <v>0</v>
      </c>
      <c r="AD25" s="74"/>
      <c r="AE25" s="73">
        <f>SUM(AE18*G25)</f>
        <v>0</v>
      </c>
      <c r="AF25" s="73">
        <f>SUM(AF18*G25)</f>
        <v>0</v>
      </c>
      <c r="AG25" s="73">
        <f>SUM(AG18*G25)</f>
        <v>0</v>
      </c>
      <c r="AH25" s="282">
        <f t="shared" si="117"/>
        <v>0</v>
      </c>
      <c r="AI25" s="74"/>
      <c r="AJ25" s="73">
        <f t="shared" si="140"/>
        <v>0</v>
      </c>
      <c r="AK25" s="73">
        <f t="shared" si="141"/>
        <v>0</v>
      </c>
      <c r="AL25" s="73">
        <f t="shared" si="142"/>
        <v>0</v>
      </c>
      <c r="AM25" s="282">
        <f t="shared" si="118"/>
        <v>0</v>
      </c>
      <c r="AN25" s="74"/>
      <c r="AO25" s="73">
        <f>SUM(AO18*I25)</f>
        <v>0</v>
      </c>
      <c r="AP25" s="73">
        <f>SUM(AP18*I25)</f>
        <v>0</v>
      </c>
      <c r="AQ25" s="73">
        <f>SUM(AQ18*I25)</f>
        <v>0</v>
      </c>
      <c r="AR25" s="282">
        <f t="shared" si="119"/>
        <v>0</v>
      </c>
      <c r="AS25" s="74"/>
      <c r="AT25" s="73">
        <f>SUM(AT18*K25)</f>
        <v>647.96068906711639</v>
      </c>
      <c r="AU25" s="73">
        <f>SUM(AU18*K25)</f>
        <v>747.99926858154549</v>
      </c>
      <c r="AV25" s="73">
        <f>SUM(AV18*K25)</f>
        <v>850.23528508120262</v>
      </c>
      <c r="AW25" s="282">
        <f t="shared" si="120"/>
        <v>2246.1952427298647</v>
      </c>
      <c r="AX25" s="74"/>
      <c r="AY25" s="73">
        <f>SUM(AY18*L25)</f>
        <v>2929.7295082509477</v>
      </c>
      <c r="AZ25" s="73">
        <f>SUM(AZ18*L25)</f>
        <v>3309.8742266728877</v>
      </c>
      <c r="BA25" s="73">
        <f>SUM(BA18*L25)</f>
        <v>3691.1433263649255</v>
      </c>
      <c r="BB25" s="282">
        <f t="shared" si="121"/>
        <v>9930.747061288761</v>
      </c>
      <c r="BC25" s="74"/>
      <c r="BD25" s="73">
        <f>SUM(BD18*M25)</f>
        <v>7000.3849942687193</v>
      </c>
      <c r="BE25" s="73">
        <f>SUM(BE18*M25)</f>
        <v>7853.9086913933106</v>
      </c>
      <c r="BF25" s="73">
        <f>SUM(BF18*M25)</f>
        <v>8712.5066235793165</v>
      </c>
      <c r="BG25" s="282">
        <f t="shared" si="122"/>
        <v>23566.800309241346</v>
      </c>
      <c r="BH25" s="74"/>
      <c r="BI25" s="73">
        <f>SUM(BI18*N25)</f>
        <v>14217.439409904033</v>
      </c>
      <c r="BJ25" s="73">
        <f>SUM(BJ18*N25)</f>
        <v>16267.521843394612</v>
      </c>
      <c r="BK25" s="73">
        <f>SUM(BK18*N25)</f>
        <v>18348.206668747713</v>
      </c>
      <c r="BL25" s="282">
        <f t="shared" si="123"/>
        <v>48833.167922046356</v>
      </c>
      <c r="BM25" s="74"/>
      <c r="BN25" s="73">
        <f>SUM(BN18*P25)</f>
        <v>27958.98637914722</v>
      </c>
      <c r="BO25" s="73">
        <f>SUM(BO18*P25)</f>
        <v>32431.821016183636</v>
      </c>
      <c r="BP25" s="73">
        <f>SUM(BP18*P25)</f>
        <v>37011.550353778424</v>
      </c>
      <c r="BQ25" s="282">
        <f t="shared" si="124"/>
        <v>97402.357749109273</v>
      </c>
      <c r="BR25" s="74"/>
      <c r="BS25" s="73">
        <f>SUM(BS18*Q25)</f>
        <v>54458.52206500688</v>
      </c>
      <c r="BT25" s="73">
        <f>SUM(BT18*Q25)</f>
        <v>63983.684171899047</v>
      </c>
      <c r="BU25" s="73">
        <f>SUM(BU18*Q25)</f>
        <v>73821.779521325559</v>
      </c>
      <c r="BV25" s="282">
        <f t="shared" si="125"/>
        <v>192263.98575823149</v>
      </c>
      <c r="BW25" s="74"/>
      <c r="BX25" s="73">
        <f>SUM(BX18*R25)</f>
        <v>106750.62071806352</v>
      </c>
      <c r="BY25" s="73">
        <f>SUM(BY18*R25)</f>
        <v>127072.32514035216</v>
      </c>
      <c r="BZ25" s="73">
        <f>SUM(BZ18*R25)</f>
        <v>148243.08605535966</v>
      </c>
      <c r="CA25" s="282">
        <f t="shared" si="126"/>
        <v>382066.03191377537</v>
      </c>
      <c r="CB25" s="74"/>
      <c r="CC25" s="73">
        <f>SUM(CC18*S25)</f>
        <v>212704.83819462624</v>
      </c>
      <c r="CD25" s="73">
        <f>SUM(CD18*S25)</f>
        <v>256470.28115077919</v>
      </c>
      <c r="CE25" s="73">
        <f>SUM(CE18*S25)</f>
        <v>302452.95592166902</v>
      </c>
      <c r="CF25" s="282">
        <f t="shared" si="127"/>
        <v>771628.0752670744</v>
      </c>
      <c r="CG25" s="88"/>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57" t="s">
        <v>196</v>
      </c>
      <c r="B26" s="278">
        <v>0.01</v>
      </c>
      <c r="C26" s="304">
        <v>0.02</v>
      </c>
      <c r="D26" s="121"/>
      <c r="E26" s="120"/>
      <c r="F26" s="129">
        <v>0</v>
      </c>
      <c r="G26" s="128">
        <v>0</v>
      </c>
      <c r="H26" s="360">
        <v>0</v>
      </c>
      <c r="I26" s="360">
        <v>0</v>
      </c>
      <c r="J26" s="282">
        <f t="shared" si="143"/>
        <v>0</v>
      </c>
      <c r="K26" s="33">
        <f>SUM(IF((0*(IF(ISBLANK(E26),C26,E26)))+IF(ISBLANK(D26),B26,D26) &lt; 0, 0, (0*(IF(ISBLANK(E26),C26,E26)))+IF(ISBLANK(D26),B26,D26)))</f>
        <v>0.01</v>
      </c>
      <c r="L26" s="33">
        <f>SUM(IF((1*(IF(ISBLANK(E26),C26,E26)))+IF(ISBLANK(D26),B26,D26) &lt; 0, 0, (1*(IF(ISBLANK(E26),C26,E26)))+IF(ISBLANK(D26),B26,D26)))</f>
        <v>0.03</v>
      </c>
      <c r="M26" s="33">
        <f>SUM(IF((2*(IF(ISBLANK(E26),C26,E26)))+IF(ISBLANK(D26),B26,D26) &lt; 0, 0, (2*(IF(ISBLANK(E26),C26,E26)))+IF(ISBLANK(D26),B26,D26)))</f>
        <v>0.05</v>
      </c>
      <c r="N26" s="33">
        <f>SUM(IF((3*(IF(ISBLANK(E26),C26,E26)))+IF(ISBLANK(D26),B26,D26) &lt; 0, 0, (3*(IF(ISBLANK(E26),C26,E26)))+IF(ISBLANK(D26),B26,D26)))</f>
        <v>6.9999999999999993E-2</v>
      </c>
      <c r="O26" s="282">
        <f t="shared" si="134"/>
        <v>84576.910535306321</v>
      </c>
      <c r="P26" s="33">
        <f>SUM(IF((4*(IF(ISBLANK(E26),C26,E26)))+IF(ISBLANK(D26),B26,D26) &lt; 0, 0, (4*(IF(ISBLANK(E26),C26,E26)))+IF(ISBLANK(D26),B26,D26)))</f>
        <v>0.09</v>
      </c>
      <c r="Q26" s="33">
        <f>SUM(IF((5*(IF(ISBLANK(E26),C26,E26)))+IF(ISBLANK(D26),B26,D26) &lt; 0, 0, (5*(IF(ISBLANK(E26),C26,E26)))+IF(ISBLANK(D26),B26,D26)))</f>
        <v>0.11</v>
      </c>
      <c r="R26" s="33">
        <f>SUM(IF((6*(IF(ISBLANK(E26),C26,E26)))+IF(ISBLANK(D26),B26,D26) &lt; 0, 0, (6*(IF(ISBLANK(E26),C26,E26)))+IF(ISBLANK(D26),B26,D26)))</f>
        <v>0.13</v>
      </c>
      <c r="S26" s="33">
        <f>SUM(IF((7*(IF(ISBLANK(E26),C26,E26)))+IF(ISBLANK(D26),B26,D26) &lt; 0, 0, (7*(IF(ISBLANK(E26),C26,E26)))+IF(ISBLANK(D26),B26,D26)))</f>
        <v>0.15000000000000002</v>
      </c>
      <c r="T26" s="305">
        <f t="shared" si="139"/>
        <v>1443360.4506881905</v>
      </c>
      <c r="U26" s="278">
        <f>SUM(IF((9*(IF(ISBLANK(E26),C26,E26)))+IF(ISBLANK(D26),B26,D26) &lt; 0, 0, (9*(IF(ISBLANK(E26),C26,E26)))+IF(ISBLANK(D26),B26,D26)))*12</f>
        <v>2.2800000000000002</v>
      </c>
      <c r="V26" s="279">
        <f>SUM(IF((11*(IF(ISBLANK(E26),C26,E26)))+IF(ISBLANK(D26),B26,D26) &lt; 0, 0, (11*(IF(ISBLANK(E26),C26,E26)))+IF(ISBLANK(D26),B26,D26)))*12</f>
        <v>2.7600000000000002</v>
      </c>
      <c r="W26" s="280">
        <f>SUM(IF((13*(IF(ISBLANK(E26),C26,E26)))+IF(ISBLANK(D26),B26,D26) &lt; 0, 0, (13*(IF(ISBLANK(E26),C26,E26)))+IF(ISBLANK(D26),B26,D26)))*12</f>
        <v>3.24</v>
      </c>
      <c r="X26" s="177"/>
      <c r="Y26" s="505">
        <v>0</v>
      </c>
      <c r="Z26" s="73">
        <f>SUM(Z18*F26)</f>
        <v>0</v>
      </c>
      <c r="AA26" s="73">
        <f>SUM(AA18*F26)</f>
        <v>0</v>
      </c>
      <c r="AB26" s="73">
        <f>SUM(AB18*F26)</f>
        <v>0</v>
      </c>
      <c r="AC26" s="282">
        <f t="shared" si="116"/>
        <v>0</v>
      </c>
      <c r="AD26" s="74"/>
      <c r="AE26" s="73">
        <f>SUM(AE18*G26)</f>
        <v>0</v>
      </c>
      <c r="AF26" s="73">
        <f>SUM(AF18*G26)</f>
        <v>0</v>
      </c>
      <c r="AG26" s="73">
        <f>SUM(AG18*G26)</f>
        <v>0</v>
      </c>
      <c r="AH26" s="282">
        <f t="shared" si="117"/>
        <v>0</v>
      </c>
      <c r="AI26" s="74"/>
      <c r="AJ26" s="73">
        <f t="shared" si="140"/>
        <v>0</v>
      </c>
      <c r="AK26" s="73">
        <f t="shared" si="141"/>
        <v>0</v>
      </c>
      <c r="AL26" s="73">
        <f t="shared" si="142"/>
        <v>0</v>
      </c>
      <c r="AM26" s="282">
        <f t="shared" si="118"/>
        <v>0</v>
      </c>
      <c r="AN26" s="74"/>
      <c r="AO26" s="73">
        <f>SUM(AO18*I26)</f>
        <v>0</v>
      </c>
      <c r="AP26" s="73">
        <f>SUM(AP18*I26)</f>
        <v>0</v>
      </c>
      <c r="AQ26" s="73">
        <f>SUM(AQ18*I26)</f>
        <v>0</v>
      </c>
      <c r="AR26" s="282">
        <f t="shared" si="119"/>
        <v>0</v>
      </c>
      <c r="AS26" s="74"/>
      <c r="AT26" s="73">
        <f>SUM(AT18*K26)</f>
        <v>647.96068906711639</v>
      </c>
      <c r="AU26" s="73">
        <f>SUM(AU18*K26)</f>
        <v>747.99926858154549</v>
      </c>
      <c r="AV26" s="73">
        <f>SUM(AV18*K26)</f>
        <v>850.23528508120262</v>
      </c>
      <c r="AW26" s="282">
        <f t="shared" si="120"/>
        <v>2246.1952427298647</v>
      </c>
      <c r="AX26" s="74"/>
      <c r="AY26" s="73">
        <f>SUM(AY18*L26)</f>
        <v>2929.7295082509477</v>
      </c>
      <c r="AZ26" s="73">
        <f>SUM(AZ18*L26)</f>
        <v>3309.8742266728877</v>
      </c>
      <c r="BA26" s="73">
        <f>SUM(BA18*L26)</f>
        <v>3691.1433263649255</v>
      </c>
      <c r="BB26" s="282">
        <f t="shared" si="121"/>
        <v>9930.747061288761</v>
      </c>
      <c r="BC26" s="74"/>
      <c r="BD26" s="73">
        <f>SUM(BD18*M26)</f>
        <v>7000.3849942687193</v>
      </c>
      <c r="BE26" s="73">
        <f>SUM(BE18*M26)</f>
        <v>7853.9086913933106</v>
      </c>
      <c r="BF26" s="73">
        <f>SUM(BF18*M26)</f>
        <v>8712.5066235793165</v>
      </c>
      <c r="BG26" s="282">
        <f t="shared" si="122"/>
        <v>23566.800309241346</v>
      </c>
      <c r="BH26" s="74"/>
      <c r="BI26" s="73">
        <f>SUM(BI18*N26)</f>
        <v>14217.439409904033</v>
      </c>
      <c r="BJ26" s="73">
        <f>SUM(BJ18*N26)</f>
        <v>16267.521843394612</v>
      </c>
      <c r="BK26" s="73">
        <f>SUM(BK18*N26)</f>
        <v>18348.206668747713</v>
      </c>
      <c r="BL26" s="282">
        <f t="shared" si="123"/>
        <v>48833.167922046356</v>
      </c>
      <c r="BM26" s="74"/>
      <c r="BN26" s="73">
        <f>SUM(BN18*P26)</f>
        <v>27958.98637914722</v>
      </c>
      <c r="BO26" s="73">
        <f>SUM(BO18*P26)</f>
        <v>32431.821016183636</v>
      </c>
      <c r="BP26" s="73">
        <f>SUM(BP18*P26)</f>
        <v>37011.550353778424</v>
      </c>
      <c r="BQ26" s="282">
        <f t="shared" si="124"/>
        <v>97402.357749109273</v>
      </c>
      <c r="BR26" s="74"/>
      <c r="BS26" s="73">
        <f>SUM(BS18*Q26)</f>
        <v>54458.52206500688</v>
      </c>
      <c r="BT26" s="73">
        <f>SUM(BT18*Q26)</f>
        <v>63983.684171899047</v>
      </c>
      <c r="BU26" s="73">
        <f>SUM(BU18*Q26)</f>
        <v>73821.779521325559</v>
      </c>
      <c r="BV26" s="282">
        <f t="shared" si="125"/>
        <v>192263.98575823149</v>
      </c>
      <c r="BW26" s="74"/>
      <c r="BX26" s="73">
        <f>SUM(BX18*R26)</f>
        <v>106750.62071806352</v>
      </c>
      <c r="BY26" s="73">
        <f>SUM(BY18*R26)</f>
        <v>127072.32514035216</v>
      </c>
      <c r="BZ26" s="73">
        <f>SUM(BZ18*R26)</f>
        <v>148243.08605535966</v>
      </c>
      <c r="CA26" s="282">
        <f t="shared" si="126"/>
        <v>382066.03191377537</v>
      </c>
      <c r="CB26" s="74"/>
      <c r="CC26" s="73">
        <f>SUM(CC18*S26)</f>
        <v>212704.83819462624</v>
      </c>
      <c r="CD26" s="73">
        <f>SUM(CD18*S26)</f>
        <v>256470.28115077919</v>
      </c>
      <c r="CE26" s="73">
        <f>SUM(CE18*S26)</f>
        <v>302452.95592166902</v>
      </c>
      <c r="CF26" s="282">
        <f t="shared" si="127"/>
        <v>771628.0752670744</v>
      </c>
      <c r="CG26" s="88"/>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57" t="s">
        <v>197</v>
      </c>
      <c r="B27" s="278">
        <v>0</v>
      </c>
      <c r="C27" s="304">
        <v>0</v>
      </c>
      <c r="D27" s="121"/>
      <c r="E27" s="120"/>
      <c r="F27" s="129">
        <v>0</v>
      </c>
      <c r="G27" s="128">
        <v>0</v>
      </c>
      <c r="H27" s="360">
        <v>0</v>
      </c>
      <c r="I27" s="360">
        <v>0</v>
      </c>
      <c r="J27" s="282">
        <f t="shared" si="143"/>
        <v>0</v>
      </c>
      <c r="K27" s="360">
        <v>0</v>
      </c>
      <c r="L27" s="360">
        <v>0</v>
      </c>
      <c r="M27" s="360">
        <v>0</v>
      </c>
      <c r="N27" s="360">
        <v>0</v>
      </c>
      <c r="O27" s="282">
        <f t="shared" si="13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05">
        <f t="shared" si="139"/>
        <v>0</v>
      </c>
      <c r="U27" s="278">
        <f>SUM(IF((5*(IF(ISBLANK(E27),C27,E27)))+IF(ISBLANK(D27),B27,D27) &lt; 0, 0, (5*(IF(ISBLANK(E27),C27,E27)))+IF(ISBLANK(D27),B27,D27)))*12</f>
        <v>0</v>
      </c>
      <c r="V27" s="279">
        <f>SUM(IF((7*(IF(ISBLANK(E27),C27,E27)))+IF(ISBLANK(D27),B27,D27) &lt; 0, 0, (7*(IF(ISBLANK(E27),C27,E27)))+IF(ISBLANK(D27),B27,D27)))*12</f>
        <v>0</v>
      </c>
      <c r="W27" s="280">
        <f>SUM(IF((9*(IF(ISBLANK(E27),C27,E27)))+IF(ISBLANK(D27),B27,D27) &lt; 0, 0, (9*(IF(ISBLANK(E27),C27,E27)))+IF(ISBLANK(D27),B27,D27)))*12</f>
        <v>0</v>
      </c>
      <c r="X27" s="177"/>
      <c r="Y27" s="505">
        <v>0</v>
      </c>
      <c r="Z27" s="73">
        <f>SUM(Z18*F27)</f>
        <v>0</v>
      </c>
      <c r="AA27" s="73">
        <f>SUM(AA18*F27)</f>
        <v>0</v>
      </c>
      <c r="AB27" s="73">
        <f>SUM(AB18*F27)</f>
        <v>0</v>
      </c>
      <c r="AC27" s="282">
        <f t="shared" si="116"/>
        <v>0</v>
      </c>
      <c r="AD27" s="74"/>
      <c r="AE27" s="73">
        <f>SUM(AE18*G27)</f>
        <v>0</v>
      </c>
      <c r="AF27" s="73">
        <f>SUM(AF18*G27)</f>
        <v>0</v>
      </c>
      <c r="AG27" s="73">
        <f>SUM(AG18*G27)</f>
        <v>0</v>
      </c>
      <c r="AH27" s="282">
        <f t="shared" si="117"/>
        <v>0</v>
      </c>
      <c r="AI27" s="74"/>
      <c r="AJ27" s="73">
        <f t="shared" si="140"/>
        <v>0</v>
      </c>
      <c r="AK27" s="73">
        <f t="shared" si="141"/>
        <v>0</v>
      </c>
      <c r="AL27" s="73">
        <f t="shared" si="142"/>
        <v>0</v>
      </c>
      <c r="AM27" s="282">
        <f t="shared" si="118"/>
        <v>0</v>
      </c>
      <c r="AN27" s="74"/>
      <c r="AO27" s="73">
        <f>SUM(AO18*I27)</f>
        <v>0</v>
      </c>
      <c r="AP27" s="73">
        <f>SUM(AP18*I27)</f>
        <v>0</v>
      </c>
      <c r="AQ27" s="73">
        <f>SUM(AQ18*I27)</f>
        <v>0</v>
      </c>
      <c r="AR27" s="282">
        <f t="shared" si="119"/>
        <v>0</v>
      </c>
      <c r="AS27" s="74"/>
      <c r="AT27" s="73">
        <f>SUM(AT18*K27)</f>
        <v>0</v>
      </c>
      <c r="AU27" s="73">
        <f>SUM(AU18*K27)</f>
        <v>0</v>
      </c>
      <c r="AV27" s="73">
        <f>SUM(AV18*K27)</f>
        <v>0</v>
      </c>
      <c r="AW27" s="282">
        <f t="shared" si="120"/>
        <v>0</v>
      </c>
      <c r="AX27" s="74"/>
      <c r="AY27" s="73">
        <f>SUM(AY18*L27)</f>
        <v>0</v>
      </c>
      <c r="AZ27" s="73">
        <f>SUM(AZ18*L27)</f>
        <v>0</v>
      </c>
      <c r="BA27" s="73">
        <f>SUM(BA18*L27)</f>
        <v>0</v>
      </c>
      <c r="BB27" s="282">
        <f t="shared" si="121"/>
        <v>0</v>
      </c>
      <c r="BC27" s="74"/>
      <c r="BD27" s="73">
        <f>SUM(BD18*M27)</f>
        <v>0</v>
      </c>
      <c r="BE27" s="73">
        <f>SUM(BE18*M27)</f>
        <v>0</v>
      </c>
      <c r="BF27" s="73">
        <f>SUM(BF18*M27)</f>
        <v>0</v>
      </c>
      <c r="BG27" s="282">
        <f t="shared" si="122"/>
        <v>0</v>
      </c>
      <c r="BH27" s="74"/>
      <c r="BI27" s="73">
        <f>SUM(BI18*N27)</f>
        <v>0</v>
      </c>
      <c r="BJ27" s="73">
        <f>SUM(BJ18*N27)</f>
        <v>0</v>
      </c>
      <c r="BK27" s="73">
        <f>SUM(BK18*N27)</f>
        <v>0</v>
      </c>
      <c r="BL27" s="282">
        <f t="shared" si="123"/>
        <v>0</v>
      </c>
      <c r="BM27" s="74"/>
      <c r="BN27" s="73">
        <f>SUM(BN18*P27)</f>
        <v>0</v>
      </c>
      <c r="BO27" s="73">
        <f>SUM(BO18*P27)</f>
        <v>0</v>
      </c>
      <c r="BP27" s="73">
        <f>SUM(BP18*P27)</f>
        <v>0</v>
      </c>
      <c r="BQ27" s="282">
        <f t="shared" si="124"/>
        <v>0</v>
      </c>
      <c r="BR27" s="74"/>
      <c r="BS27" s="73">
        <f>SUM(BS18*Q27)</f>
        <v>0</v>
      </c>
      <c r="BT27" s="73">
        <f>SUM(BT18*Q27)</f>
        <v>0</v>
      </c>
      <c r="BU27" s="73">
        <f>SUM(BU18*Q27)</f>
        <v>0</v>
      </c>
      <c r="BV27" s="282">
        <f t="shared" si="125"/>
        <v>0</v>
      </c>
      <c r="BW27" s="74"/>
      <c r="BX27" s="73">
        <f>SUM(BX18*R27)</f>
        <v>0</v>
      </c>
      <c r="BY27" s="73">
        <f>SUM(BY18*R27)</f>
        <v>0</v>
      </c>
      <c r="BZ27" s="73">
        <f>SUM(BZ18*R27)</f>
        <v>0</v>
      </c>
      <c r="CA27" s="282">
        <f t="shared" si="126"/>
        <v>0</v>
      </c>
      <c r="CB27" s="74"/>
      <c r="CC27" s="73">
        <f>SUM(CC18*S27)</f>
        <v>0</v>
      </c>
      <c r="CD27" s="73">
        <f>SUM(CD18*S27)</f>
        <v>0</v>
      </c>
      <c r="CE27" s="73">
        <f>SUM(CE18*S27)</f>
        <v>0</v>
      </c>
      <c r="CF27" s="282">
        <f t="shared" si="127"/>
        <v>0</v>
      </c>
      <c r="CG27" s="88"/>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57" t="s">
        <v>198</v>
      </c>
      <c r="B28" s="278">
        <v>0</v>
      </c>
      <c r="C28" s="304">
        <v>0</v>
      </c>
      <c r="D28" s="121"/>
      <c r="E28" s="120"/>
      <c r="F28" s="129">
        <v>0</v>
      </c>
      <c r="G28" s="128">
        <v>0</v>
      </c>
      <c r="H28" s="360">
        <v>0</v>
      </c>
      <c r="I28" s="360">
        <v>0</v>
      </c>
      <c r="J28" s="282">
        <f t="shared" si="143"/>
        <v>0</v>
      </c>
      <c r="K28" s="360">
        <v>0</v>
      </c>
      <c r="L28" s="360">
        <v>0</v>
      </c>
      <c r="M28" s="360">
        <v>0</v>
      </c>
      <c r="N28" s="360">
        <v>0</v>
      </c>
      <c r="O28" s="282">
        <f t="shared" si="13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05">
        <f t="shared" si="139"/>
        <v>0</v>
      </c>
      <c r="U28" s="278">
        <f>SUM(IF((6*(IF(ISBLANK(E28),C28,E28)))+IF(ISBLANK(D28),B28,D28) &lt; 0, 0, (6*(IF(ISBLANK(E28),C28,E28)))+IF(ISBLANK(D28),B28,D28)))*12</f>
        <v>0</v>
      </c>
      <c r="V28" s="279">
        <f>SUM(IF((8*(IF(ISBLANK(E28),C28,E28)))+IF(ISBLANK(D28),B28,D28) &lt; 0, 0, (8*(IF(ISBLANK(E28),C28,E28)))+IF(ISBLANK(D28),B28,D28)))*12</f>
        <v>0</v>
      </c>
      <c r="W28" s="280">
        <f>SUM(IF((10*(IF(ISBLANK(E28),C28,E28)))+IF(ISBLANK(D28),B28,D28) &lt; 0, 0, (10*(IF(ISBLANK(E28),C28,E28)))+IF(ISBLANK(D28),B28,D28)))*12</f>
        <v>0</v>
      </c>
      <c r="X28" s="177"/>
      <c r="Y28" s="505">
        <v>0</v>
      </c>
      <c r="Z28" s="73">
        <f>SUM(Z18*F28)</f>
        <v>0</v>
      </c>
      <c r="AA28" s="73">
        <f>SUM(AA18*F28)</f>
        <v>0</v>
      </c>
      <c r="AB28" s="73">
        <f>SUM(AB18*F28)</f>
        <v>0</v>
      </c>
      <c r="AC28" s="282">
        <f t="shared" si="116"/>
        <v>0</v>
      </c>
      <c r="AD28" s="74"/>
      <c r="AE28" s="73">
        <f>SUM(AE18*G28)</f>
        <v>0</v>
      </c>
      <c r="AF28" s="73">
        <f>SUM(AF18*G28)</f>
        <v>0</v>
      </c>
      <c r="AG28" s="73">
        <f>SUM(AG18*G28)</f>
        <v>0</v>
      </c>
      <c r="AH28" s="282">
        <f t="shared" si="117"/>
        <v>0</v>
      </c>
      <c r="AI28" s="74"/>
      <c r="AJ28" s="73">
        <f t="shared" si="140"/>
        <v>0</v>
      </c>
      <c r="AK28" s="73">
        <f t="shared" si="141"/>
        <v>0</v>
      </c>
      <c r="AL28" s="73">
        <f t="shared" si="142"/>
        <v>0</v>
      </c>
      <c r="AM28" s="282">
        <f t="shared" si="118"/>
        <v>0</v>
      </c>
      <c r="AN28" s="74"/>
      <c r="AO28" s="73">
        <f>SUM(AO18*I28)</f>
        <v>0</v>
      </c>
      <c r="AP28" s="73">
        <f>SUM(AP18*I28)</f>
        <v>0</v>
      </c>
      <c r="AQ28" s="73">
        <f>SUM(AQ18*I28)</f>
        <v>0</v>
      </c>
      <c r="AR28" s="282">
        <f t="shared" si="119"/>
        <v>0</v>
      </c>
      <c r="AS28" s="74"/>
      <c r="AT28" s="73">
        <f>SUM(AT18*K28)</f>
        <v>0</v>
      </c>
      <c r="AU28" s="73">
        <f>SUM(AU18*K28)</f>
        <v>0</v>
      </c>
      <c r="AV28" s="73">
        <f>SUM(AV18*K28)</f>
        <v>0</v>
      </c>
      <c r="AW28" s="282">
        <f t="shared" si="120"/>
        <v>0</v>
      </c>
      <c r="AX28" s="74"/>
      <c r="AY28" s="73">
        <f>SUM(AY18*L28)</f>
        <v>0</v>
      </c>
      <c r="AZ28" s="73">
        <f>SUM(AZ18*L28)</f>
        <v>0</v>
      </c>
      <c r="BA28" s="73">
        <f>SUM(BA18*L28)</f>
        <v>0</v>
      </c>
      <c r="BB28" s="282">
        <f t="shared" si="121"/>
        <v>0</v>
      </c>
      <c r="BC28" s="74"/>
      <c r="BD28" s="73">
        <f>SUM(BD18*M28)</f>
        <v>0</v>
      </c>
      <c r="BE28" s="73">
        <f>SUM(BE18*M28)</f>
        <v>0</v>
      </c>
      <c r="BF28" s="73">
        <f>SUM(BF18*M28)</f>
        <v>0</v>
      </c>
      <c r="BG28" s="282">
        <f t="shared" si="122"/>
        <v>0</v>
      </c>
      <c r="BH28" s="74"/>
      <c r="BI28" s="73">
        <f>SUM(BI18*N28)</f>
        <v>0</v>
      </c>
      <c r="BJ28" s="73">
        <f>SUM(BJ18*N28)</f>
        <v>0</v>
      </c>
      <c r="BK28" s="73">
        <f>SUM(BK18*N28)</f>
        <v>0</v>
      </c>
      <c r="BL28" s="282">
        <f t="shared" si="123"/>
        <v>0</v>
      </c>
      <c r="BM28" s="74"/>
      <c r="BN28" s="73">
        <f>SUM(BN18*P28)</f>
        <v>0</v>
      </c>
      <c r="BO28" s="73">
        <f>SUM(BO18*P28)</f>
        <v>0</v>
      </c>
      <c r="BP28" s="73">
        <f>SUM(BP18*P28)</f>
        <v>0</v>
      </c>
      <c r="BQ28" s="282">
        <f t="shared" si="124"/>
        <v>0</v>
      </c>
      <c r="BR28" s="74"/>
      <c r="BS28" s="73">
        <f>SUM(BS18*Q28)</f>
        <v>0</v>
      </c>
      <c r="BT28" s="73">
        <f>SUM(BT18*Q28)</f>
        <v>0</v>
      </c>
      <c r="BU28" s="73">
        <f>SUM(BU18*Q28)</f>
        <v>0</v>
      </c>
      <c r="BV28" s="282">
        <f t="shared" si="125"/>
        <v>0</v>
      </c>
      <c r="BW28" s="74"/>
      <c r="BX28" s="73">
        <f>SUM(BX18*R28)</f>
        <v>0</v>
      </c>
      <c r="BY28" s="73">
        <f>SUM(BY18*R28)</f>
        <v>0</v>
      </c>
      <c r="BZ28" s="73">
        <f>SUM(BZ18*R28)</f>
        <v>0</v>
      </c>
      <c r="CA28" s="282">
        <f t="shared" si="126"/>
        <v>0</v>
      </c>
      <c r="CB28" s="74"/>
      <c r="CC28" s="73">
        <f>SUM(CC18*S28)</f>
        <v>0</v>
      </c>
      <c r="CD28" s="73">
        <f>SUM(CD18*S28)</f>
        <v>0</v>
      </c>
      <c r="CE28" s="73">
        <f>SUM(CE18*S28)</f>
        <v>0</v>
      </c>
      <c r="CF28" s="282">
        <f t="shared" si="127"/>
        <v>0</v>
      </c>
      <c r="CG28" s="88"/>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58" t="s">
        <v>199</v>
      </c>
      <c r="B29" s="645" t="s">
        <v>209</v>
      </c>
      <c r="C29" s="646"/>
      <c r="D29" s="645" t="s">
        <v>209</v>
      </c>
      <c r="E29" s="646"/>
      <c r="F29" s="130">
        <v>0</v>
      </c>
      <c r="G29" s="131">
        <v>0</v>
      </c>
      <c r="H29" s="131">
        <v>0</v>
      </c>
      <c r="I29" s="131">
        <v>0</v>
      </c>
      <c r="J29" s="282">
        <f t="shared" si="143"/>
        <v>0</v>
      </c>
      <c r="K29" s="131">
        <v>0</v>
      </c>
      <c r="L29" s="131">
        <v>0</v>
      </c>
      <c r="M29" s="131">
        <v>0</v>
      </c>
      <c r="N29" s="131">
        <v>0</v>
      </c>
      <c r="O29" s="282">
        <f t="shared" si="134"/>
        <v>0</v>
      </c>
      <c r="P29" s="131">
        <v>0</v>
      </c>
      <c r="Q29" s="131">
        <v>0</v>
      </c>
      <c r="R29" s="131">
        <v>0</v>
      </c>
      <c r="S29" s="131">
        <v>0</v>
      </c>
      <c r="T29" s="305">
        <f t="shared" si="139"/>
        <v>0</v>
      </c>
      <c r="U29" s="355">
        <v>0</v>
      </c>
      <c r="V29" s="356">
        <v>0</v>
      </c>
      <c r="W29" s="357">
        <v>0</v>
      </c>
      <c r="X29" s="177"/>
      <c r="Y29" s="505">
        <v>0</v>
      </c>
      <c r="Z29" s="73">
        <f>SUM(F29/3)</f>
        <v>0</v>
      </c>
      <c r="AA29" s="73">
        <f>SUM(F29/3)</f>
        <v>0</v>
      </c>
      <c r="AB29" s="73">
        <f>SUM(F29/3)</f>
        <v>0</v>
      </c>
      <c r="AC29" s="282">
        <f t="shared" si="116"/>
        <v>0</v>
      </c>
      <c r="AD29" s="74"/>
      <c r="AE29" s="73">
        <f>SUM(G29/3)</f>
        <v>0</v>
      </c>
      <c r="AF29" s="73">
        <f>SUM(G29/3)</f>
        <v>0</v>
      </c>
      <c r="AG29" s="73">
        <f>SUM(G29/3)</f>
        <v>0</v>
      </c>
      <c r="AH29" s="282">
        <f t="shared" si="117"/>
        <v>0</v>
      </c>
      <c r="AI29" s="74"/>
      <c r="AJ29" s="73">
        <f>SUM(H29/3)</f>
        <v>0</v>
      </c>
      <c r="AK29" s="73">
        <f>SUM(H29/3)</f>
        <v>0</v>
      </c>
      <c r="AL29" s="73">
        <f>SUM(H29/3)</f>
        <v>0</v>
      </c>
      <c r="AM29" s="282">
        <f t="shared" si="118"/>
        <v>0</v>
      </c>
      <c r="AN29" s="74"/>
      <c r="AO29" s="73">
        <f>SUM(I29/3)</f>
        <v>0</v>
      </c>
      <c r="AP29" s="73">
        <f>SUM(I29/3)</f>
        <v>0</v>
      </c>
      <c r="AQ29" s="73">
        <f>SUM(I29/3)</f>
        <v>0</v>
      </c>
      <c r="AR29" s="282">
        <f t="shared" si="119"/>
        <v>0</v>
      </c>
      <c r="AS29" s="74"/>
      <c r="AT29" s="73">
        <f>SUM(K29/3)</f>
        <v>0</v>
      </c>
      <c r="AU29" s="73">
        <f>SUM(K29/3)</f>
        <v>0</v>
      </c>
      <c r="AV29" s="73">
        <f>SUM(K29/3)</f>
        <v>0</v>
      </c>
      <c r="AW29" s="282">
        <f t="shared" si="120"/>
        <v>0</v>
      </c>
      <c r="AX29" s="74"/>
      <c r="AY29" s="73">
        <f>SUM(L29/3)</f>
        <v>0</v>
      </c>
      <c r="AZ29" s="73">
        <f>SUM(L29/3)</f>
        <v>0</v>
      </c>
      <c r="BA29" s="73">
        <f>SUM(L29/3)</f>
        <v>0</v>
      </c>
      <c r="BB29" s="282">
        <f t="shared" si="121"/>
        <v>0</v>
      </c>
      <c r="BC29" s="74"/>
      <c r="BD29" s="73">
        <f>SUM(M29/3)</f>
        <v>0</v>
      </c>
      <c r="BE29" s="73">
        <f>SUM(M29/3)</f>
        <v>0</v>
      </c>
      <c r="BF29" s="73">
        <f>SUM(M29/3)</f>
        <v>0</v>
      </c>
      <c r="BG29" s="282">
        <f t="shared" si="122"/>
        <v>0</v>
      </c>
      <c r="BH29" s="74"/>
      <c r="BI29" s="73">
        <f>SUM(N29/3)</f>
        <v>0</v>
      </c>
      <c r="BJ29" s="73">
        <f>SUM(N29/3)</f>
        <v>0</v>
      </c>
      <c r="BK29" s="73">
        <f>SUM(N29/3)</f>
        <v>0</v>
      </c>
      <c r="BL29" s="282">
        <f t="shared" si="123"/>
        <v>0</v>
      </c>
      <c r="BM29" s="74"/>
      <c r="BN29" s="73">
        <f>SUM(P29/3)</f>
        <v>0</v>
      </c>
      <c r="BO29" s="73">
        <f>SUM(P29/3)</f>
        <v>0</v>
      </c>
      <c r="BP29" s="73">
        <f>SUM(P29/3)</f>
        <v>0</v>
      </c>
      <c r="BQ29" s="282">
        <f t="shared" si="124"/>
        <v>0</v>
      </c>
      <c r="BR29" s="74"/>
      <c r="BS29" s="73">
        <f>SUM(Q29/3)</f>
        <v>0</v>
      </c>
      <c r="BT29" s="73">
        <f>SUM(Q29/3)</f>
        <v>0</v>
      </c>
      <c r="BU29" s="73">
        <f>SUM(Q29/3)</f>
        <v>0</v>
      </c>
      <c r="BV29" s="282">
        <f t="shared" si="125"/>
        <v>0</v>
      </c>
      <c r="BW29" s="74"/>
      <c r="BX29" s="73">
        <f>SUM(R29/3)</f>
        <v>0</v>
      </c>
      <c r="BY29" s="73">
        <f>SUM(R29/3)</f>
        <v>0</v>
      </c>
      <c r="BZ29" s="73">
        <f>SUM(R29/3)</f>
        <v>0</v>
      </c>
      <c r="CA29" s="282">
        <f t="shared" si="126"/>
        <v>0</v>
      </c>
      <c r="CB29" s="74"/>
      <c r="CC29" s="73">
        <f>SUM(S29/3)</f>
        <v>0</v>
      </c>
      <c r="CD29" s="73">
        <f>SUM(S29/3)</f>
        <v>0</v>
      </c>
      <c r="CE29" s="73">
        <f>SUM(S29/3)</f>
        <v>0</v>
      </c>
      <c r="CF29" s="282">
        <f t="shared" si="127"/>
        <v>0</v>
      </c>
      <c r="CG29" s="88"/>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59" t="s">
        <v>200</v>
      </c>
      <c r="B30" s="321"/>
      <c r="C30" s="322"/>
      <c r="D30" s="202"/>
      <c r="E30" s="203"/>
      <c r="F30" s="101">
        <f>AC30</f>
        <v>0</v>
      </c>
      <c r="G30" s="75">
        <f>AH30</f>
        <v>0</v>
      </c>
      <c r="H30" s="75">
        <f>AM30</f>
        <v>17993.912384890558</v>
      </c>
      <c r="I30" s="75">
        <f>AR30</f>
        <v>97389.270813391558</v>
      </c>
      <c r="J30" s="72">
        <f>SUM(F30:I30)</f>
        <v>115383.18319828212</v>
      </c>
      <c r="K30" s="75">
        <f>AW30</f>
        <v>202157.57184568781</v>
      </c>
      <c r="L30" s="75">
        <f>BB30</f>
        <v>413781.12755369837</v>
      </c>
      <c r="M30" s="75">
        <f>BG30</f>
        <v>754137.60989572306</v>
      </c>
      <c r="N30" s="75">
        <f>BL30</f>
        <v>1360352.5349712914</v>
      </c>
      <c r="O30" s="72">
        <f>SUM(K30:N30)</f>
        <v>2730428.8442664007</v>
      </c>
      <c r="P30" s="75">
        <f>BQ30</f>
        <v>2489171.3646994596</v>
      </c>
      <c r="Q30" s="75">
        <f>BV30</f>
        <v>4631814.2023573956</v>
      </c>
      <c r="R30" s="75">
        <f>CA30</f>
        <v>8816908.4287794307</v>
      </c>
      <c r="S30" s="75">
        <f>CF30</f>
        <v>17233027.014297996</v>
      </c>
      <c r="T30" s="158">
        <f>SUM(P30:S30)</f>
        <v>33170921.01013428</v>
      </c>
      <c r="U30" s="162">
        <f>SUM(((S18+U18)/2)*(U21+U22+U23+U24+U25+U26+U27+U28))</f>
        <v>192153676.86954805</v>
      </c>
      <c r="V30" s="72">
        <f>SUM(((U18+V18)/2)*(V21+V22+V23+V24+V25+V26+V27+V28))</f>
        <v>567211199.47110546</v>
      </c>
      <c r="W30" s="89">
        <f>SUM(((V18+W18)/2)*(W21+W22+W23+W24+W25+W26+W27+W28))</f>
        <v>1285293740.5424666</v>
      </c>
      <c r="X30" s="178"/>
      <c r="Y30" s="509">
        <v>0</v>
      </c>
      <c r="Z30" s="75">
        <f>SUM(Z21:Z29)</f>
        <v>0</v>
      </c>
      <c r="AA30" s="75">
        <f>SUM(AA21:AA29)</f>
        <v>0</v>
      </c>
      <c r="AB30" s="75">
        <f>SUM(AB21:AB29)</f>
        <v>0</v>
      </c>
      <c r="AC30" s="72">
        <f>SUM(Z30:AB30)</f>
        <v>0</v>
      </c>
      <c r="AD30" s="72"/>
      <c r="AE30" s="75">
        <f>SUM(AE21:AE29)</f>
        <v>0</v>
      </c>
      <c r="AF30" s="75">
        <f>SUM(AF21:AF29)</f>
        <v>0</v>
      </c>
      <c r="AG30" s="75">
        <f>SUM(AG21:AG29)</f>
        <v>0</v>
      </c>
      <c r="AH30" s="72">
        <f>SUM(AE30:AG30)</f>
        <v>0</v>
      </c>
      <c r="AI30" s="72"/>
      <c r="AJ30" s="75">
        <f>SUM(AJ21:AJ29)</f>
        <v>3666.086194365404</v>
      </c>
      <c r="AK30" s="75">
        <f>SUM(AK21:AK29)</f>
        <v>5945.0059846644208</v>
      </c>
      <c r="AL30" s="75">
        <f>SUM(AL21:AL29)</f>
        <v>8382.8202058607349</v>
      </c>
      <c r="AM30" s="72">
        <f>SUM(AJ30:AL30)</f>
        <v>17993.912384890558</v>
      </c>
      <c r="AN30" s="72"/>
      <c r="AO30" s="75">
        <f>SUM(AO21:AO29)</f>
        <v>25966.478791992609</v>
      </c>
      <c r="AP30" s="75">
        <f>SUM(AP21:AP29)</f>
        <v>32367.657632102491</v>
      </c>
      <c r="AQ30" s="75">
        <f>SUM(AQ21:AQ29)</f>
        <v>39055.134389296458</v>
      </c>
      <c r="AR30" s="72">
        <f>SUM(AO30:AQ30)</f>
        <v>97389.270813391558</v>
      </c>
      <c r="AS30" s="72"/>
      <c r="AT30" s="75">
        <f>SUM(AT21:AT29)</f>
        <v>58316.462016040467</v>
      </c>
      <c r="AU30" s="75">
        <f>SUM(AU21:AU29)</f>
        <v>67319.934172339112</v>
      </c>
      <c r="AV30" s="75">
        <f>SUM(AV21:AV29)</f>
        <v>76521.175657308238</v>
      </c>
      <c r="AW30" s="72">
        <f>SUM(AT30:AV30)</f>
        <v>202157.57184568781</v>
      </c>
      <c r="AX30" s="72"/>
      <c r="AY30" s="75">
        <f>SUM(AY21:AY29)</f>
        <v>122072.06284378951</v>
      </c>
      <c r="AZ30" s="75">
        <f>SUM(AZ21:AZ29)</f>
        <v>137911.42611137035</v>
      </c>
      <c r="BA30" s="75">
        <f>SUM(BA21:BA29)</f>
        <v>153797.63859853856</v>
      </c>
      <c r="BB30" s="72">
        <f>SUM(AY30:BA30)</f>
        <v>413781.12755369837</v>
      </c>
      <c r="BC30" s="72"/>
      <c r="BD30" s="75">
        <f>SUM(BD21:BD29)</f>
        <v>224012.31981659899</v>
      </c>
      <c r="BE30" s="75">
        <f>SUM(BE21:BE29)</f>
        <v>251325.07812458591</v>
      </c>
      <c r="BF30" s="75">
        <f>SUM(BF21:BF29)</f>
        <v>278800.21195453813</v>
      </c>
      <c r="BG30" s="72">
        <f>SUM(BD30:BF30)</f>
        <v>754137.60989572306</v>
      </c>
      <c r="BH30" s="72"/>
      <c r="BI30" s="75">
        <f>SUM(BI21:BI29)</f>
        <v>396057.2407044695</v>
      </c>
      <c r="BJ30" s="75">
        <f>SUM(BJ21:BJ29)</f>
        <v>453166.67992313567</v>
      </c>
      <c r="BK30" s="75">
        <f>SUM(BK21:BK29)</f>
        <v>511128.61434368632</v>
      </c>
      <c r="BL30" s="72">
        <f>SUM(BI30:BK30)</f>
        <v>1360352.5349712914</v>
      </c>
      <c r="BM30" s="72"/>
      <c r="BN30" s="75">
        <f>SUM(BN21:BN29)</f>
        <v>714507.42968931794</v>
      </c>
      <c r="BO30" s="75">
        <f>SUM(BO21:BO29)</f>
        <v>828813.2037469151</v>
      </c>
      <c r="BP30" s="75">
        <f>SUM(BP21:BP29)</f>
        <v>945850.73126322636</v>
      </c>
      <c r="BQ30" s="72">
        <f>SUM(BN30:BP30)</f>
        <v>2489171.3646994596</v>
      </c>
      <c r="BR30" s="72"/>
      <c r="BS30" s="75">
        <f>SUM(BS21:BS29)</f>
        <v>1311955.3042933478</v>
      </c>
      <c r="BT30" s="75">
        <f>SUM(BT21:BT29)</f>
        <v>1541425.1186866588</v>
      </c>
      <c r="BU30" s="75">
        <f>SUM(BU21:BU29)</f>
        <v>1778433.7793773885</v>
      </c>
      <c r="BV30" s="72">
        <f>SUM(BS30:BU30)</f>
        <v>4631814.2023573956</v>
      </c>
      <c r="BW30" s="72"/>
      <c r="BX30" s="75">
        <f>SUM(BX21:BX29)</f>
        <v>2463475.8627245426</v>
      </c>
      <c r="BY30" s="75">
        <f>SUM(BY21:BY29)</f>
        <v>2932438.2724696654</v>
      </c>
      <c r="BZ30" s="75">
        <f>SUM(BZ21:BZ29)</f>
        <v>3420994.2935852231</v>
      </c>
      <c r="CA30" s="72">
        <f>SUM(BX30:BZ30)</f>
        <v>8816908.4287794307</v>
      </c>
      <c r="CB30" s="72"/>
      <c r="CC30" s="75">
        <f>SUM(CC21:CC29)</f>
        <v>4750408.0530133191</v>
      </c>
      <c r="CD30" s="75">
        <f>SUM(CD21:CD29)</f>
        <v>5727836.2790340679</v>
      </c>
      <c r="CE30" s="75">
        <f>SUM(CE21:CE29)</f>
        <v>6754782.6822506078</v>
      </c>
      <c r="CF30" s="84">
        <f>SUM(CC30:CE30)</f>
        <v>17233027.014297996</v>
      </c>
      <c r="CG30" s="89"/>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5"/>
      <c r="B31" s="160"/>
      <c r="C31" s="323"/>
      <c r="D31" s="40"/>
      <c r="E31" s="42"/>
      <c r="F31" s="102"/>
      <c r="G31" s="30"/>
      <c r="H31" s="30"/>
      <c r="I31" s="30"/>
      <c r="J31" s="30"/>
      <c r="K31" s="30"/>
      <c r="L31" s="30"/>
      <c r="M31" s="30"/>
      <c r="N31" s="30"/>
      <c r="O31" s="30"/>
      <c r="P31" s="30"/>
      <c r="Q31" s="30"/>
      <c r="R31" s="30"/>
      <c r="S31" s="30"/>
      <c r="T31" s="108"/>
      <c r="U31" s="40"/>
      <c r="V31" s="30"/>
      <c r="W31" s="42"/>
      <c r="X31" s="168"/>
      <c r="Y31" s="66"/>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0" t="s">
        <v>211</v>
      </c>
      <c r="B32" s="292"/>
      <c r="C32" s="324"/>
      <c r="D32" s="302"/>
      <c r="E32" s="303"/>
      <c r="F32" s="103"/>
      <c r="G32" s="69"/>
      <c r="H32" s="69"/>
      <c r="I32" s="69"/>
      <c r="J32" s="285"/>
      <c r="K32" s="69"/>
      <c r="L32" s="69"/>
      <c r="M32" s="69"/>
      <c r="N32" s="69"/>
      <c r="O32" s="285"/>
      <c r="P32" s="69"/>
      <c r="Q32" s="69"/>
      <c r="R32" s="69"/>
      <c r="S32" s="69"/>
      <c r="T32" s="277"/>
      <c r="U32" s="284"/>
      <c r="V32" s="285"/>
      <c r="W32" s="286"/>
      <c r="X32" s="178"/>
      <c r="Y32" s="504"/>
      <c r="Z32" s="69"/>
      <c r="AA32" s="69"/>
      <c r="AB32" s="69"/>
      <c r="AC32" s="285"/>
      <c r="AD32" s="72"/>
      <c r="AE32" s="69"/>
      <c r="AF32" s="69"/>
      <c r="AG32" s="69"/>
      <c r="AH32" s="285"/>
      <c r="AI32" s="72"/>
      <c r="AJ32" s="69"/>
      <c r="AK32" s="69"/>
      <c r="AL32" s="69"/>
      <c r="AM32" s="285"/>
      <c r="AN32" s="72"/>
      <c r="AO32" s="69"/>
      <c r="AP32" s="69"/>
      <c r="AQ32" s="69"/>
      <c r="AR32" s="285"/>
      <c r="AS32" s="72"/>
      <c r="AT32" s="69"/>
      <c r="AU32" s="69"/>
      <c r="AV32" s="69"/>
      <c r="AW32" s="285"/>
      <c r="AX32" s="72"/>
      <c r="AY32" s="69"/>
      <c r="AZ32" s="69"/>
      <c r="BA32" s="69"/>
      <c r="BB32" s="285"/>
      <c r="BC32" s="72"/>
      <c r="BD32" s="69"/>
      <c r="BE32" s="69"/>
      <c r="BF32" s="69"/>
      <c r="BG32" s="285"/>
      <c r="BH32" s="72"/>
      <c r="BI32" s="69"/>
      <c r="BJ32" s="69"/>
      <c r="BK32" s="69"/>
      <c r="BL32" s="285"/>
      <c r="BM32" s="72"/>
      <c r="BN32" s="69"/>
      <c r="BO32" s="69"/>
      <c r="BP32" s="69"/>
      <c r="BQ32" s="285"/>
      <c r="BR32" s="72"/>
      <c r="BS32" s="69"/>
      <c r="BT32" s="69"/>
      <c r="BU32" s="69"/>
      <c r="BV32" s="285"/>
      <c r="BW32" s="72"/>
      <c r="BX32" s="69"/>
      <c r="BY32" s="69"/>
      <c r="BZ32" s="69"/>
      <c r="CA32" s="285"/>
      <c r="CB32" s="72"/>
      <c r="CC32" s="69"/>
      <c r="CD32" s="69"/>
      <c r="CE32" s="69"/>
      <c r="CF32" s="285"/>
      <c r="CG32" s="89"/>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1" t="s">
        <v>201</v>
      </c>
      <c r="B33" s="281">
        <v>0</v>
      </c>
      <c r="C33" s="293">
        <v>0.04</v>
      </c>
      <c r="D33" s="116"/>
      <c r="E33" s="117"/>
      <c r="F33" s="104">
        <f>SUM((IF(ISBLANK(D33),B33,D33))+(F34*(IF(ISBLANK(E33),C33,E33))))</f>
        <v>800</v>
      </c>
      <c r="G33" s="70">
        <f>SUM((IF(ISBLANK(D33),B33,D33))+(G34*(IF(ISBLANK(E33),C33,E33))))</f>
        <v>800</v>
      </c>
      <c r="H33" s="70">
        <f>SUM((IF(ISBLANK(D33),B33,D33))+(H34*(IF(ISBLANK(E33),C33,E33))))</f>
        <v>823.99188317985409</v>
      </c>
      <c r="I33" s="70">
        <f>SUM((IF(ISBLANK(D33),B33,D33))+(I34*(IF(ISBLANK(E33),C33,E33))))</f>
        <v>947.35162621015002</v>
      </c>
      <c r="J33" s="282">
        <f>SUM(AC33+AH33+AM33+AR33)</f>
        <v>10114.030528170013</v>
      </c>
      <c r="K33" s="70">
        <f>SUM((IF(ISBLANK(D33),B33,D33))+(K34*(IF(ISBLANK(E33),C33,E33))))</f>
        <v>1189.9407124249753</v>
      </c>
      <c r="L33" s="70">
        <f>SUM((IF(ISBLANK(D33),B33,D33))+(L34*(IF(ISBLANK(E33),C33,E33))))</f>
        <v>1658.8926569858336</v>
      </c>
      <c r="M33" s="70">
        <f>SUM((IF(ISBLANK(D33),B33,D33))+(M34*(IF(ISBLANK(E33),C33,E33))))</f>
        <v>2463.3061075412716</v>
      </c>
      <c r="N33" s="70">
        <f>SUM((IF(ISBLANK(D33),B33,D33))+(N34*(IF(ISBLANK(E33),C33,E33))))</f>
        <v>3823.6586425125633</v>
      </c>
      <c r="O33" s="282">
        <f>SUM(AW33+BB33+BG33+BL33)</f>
        <v>27407.394358393933</v>
      </c>
      <c r="P33" s="70">
        <f>SUM((IF(ISBLANK(D33),B33,D33))+(P34*(IF(ISBLANK(E33),C33,E33))))</f>
        <v>6146.8852495653928</v>
      </c>
      <c r="Q33" s="70">
        <f>SUM((IF(ISBLANK(D33),B33,D33))+(Q34*(IF(ISBLANK(E33),C33,E33))))</f>
        <v>10161.124224941803</v>
      </c>
      <c r="R33" s="70">
        <f>SUM((IF(ISBLANK(D33),B33,D33))+(R34*(IF(ISBLANK(E33),C33,E33))))</f>
        <v>17214.65096796535</v>
      </c>
      <c r="S33" s="70">
        <f>SUM((IF(ISBLANK(D33),B33,D33))+(S34*(IF(ISBLANK(E33),C33,E33))))</f>
        <v>29852.204111783882</v>
      </c>
      <c r="T33" s="305">
        <f>SUM(BQ33+BV33+CA33+CF33)</f>
        <v>190124.59366276927</v>
      </c>
      <c r="U33" s="281">
        <f>SUM((IF(ISBLANK(D33),B33,D33))+(U34*(IF(ISBLANK(E33),C33,E33))))</f>
        <v>1895455.8642977912</v>
      </c>
      <c r="V33" s="282">
        <f>SUM((IF(ISBLANK(D33),B33,D33))+(V34*(IF(ISBLANK(E33),C33,E33))))</f>
        <v>2916436.0233457815</v>
      </c>
      <c r="W33" s="283">
        <f>SUM((IF(ISBLANK(D33),B33,D33))+(W34*(IF(ISBLANK(E33),C33,E33))))</f>
        <v>4972906.0082137277</v>
      </c>
      <c r="X33" s="177"/>
      <c r="Y33" s="505">
        <f>SUM(11102+10095+8000)</f>
        <v>29197</v>
      </c>
      <c r="Z33" s="70">
        <f>F33</f>
        <v>800</v>
      </c>
      <c r="AA33" s="70">
        <f>F33</f>
        <v>800</v>
      </c>
      <c r="AB33" s="70">
        <f>F33</f>
        <v>800</v>
      </c>
      <c r="AC33" s="282">
        <f t="shared" ref="AC33:AC43" si="144">SUM(Z33:AB33)</f>
        <v>2400</v>
      </c>
      <c r="AD33" s="74"/>
      <c r="AE33" s="70">
        <f>G33</f>
        <v>800</v>
      </c>
      <c r="AF33" s="70">
        <f>G33</f>
        <v>800</v>
      </c>
      <c r="AG33" s="70">
        <f>G33</f>
        <v>800</v>
      </c>
      <c r="AH33" s="282">
        <f t="shared" ref="AH33:AH46" si="145">SUM(AE33:AG33)</f>
        <v>2400</v>
      </c>
      <c r="AI33" s="74"/>
      <c r="AJ33" s="70">
        <f>H33</f>
        <v>823.99188317985409</v>
      </c>
      <c r="AK33" s="70">
        <f>H33</f>
        <v>823.99188317985409</v>
      </c>
      <c r="AL33" s="70">
        <f>H33</f>
        <v>823.99188317985409</v>
      </c>
      <c r="AM33" s="282">
        <f t="shared" ref="AM33:AM43" si="146">SUM(AJ33:AL33)</f>
        <v>2471.9756495395623</v>
      </c>
      <c r="AN33" s="74"/>
      <c r="AO33" s="70">
        <f>I33</f>
        <v>947.35162621015002</v>
      </c>
      <c r="AP33" s="70">
        <f>I33</f>
        <v>947.35162621015002</v>
      </c>
      <c r="AQ33" s="70">
        <f>I33</f>
        <v>947.35162621015002</v>
      </c>
      <c r="AR33" s="282">
        <f t="shared" ref="AR33:AR43" si="147">SUM(AO33:AQ33)</f>
        <v>2842.0548786304498</v>
      </c>
      <c r="AS33" s="74"/>
      <c r="AT33" s="70">
        <f>K33</f>
        <v>1189.9407124249753</v>
      </c>
      <c r="AU33" s="70">
        <f>K33</f>
        <v>1189.9407124249753</v>
      </c>
      <c r="AV33" s="70">
        <f>K33</f>
        <v>1189.9407124249753</v>
      </c>
      <c r="AW33" s="282">
        <f t="shared" ref="AW33:AW43" si="148">SUM(AT33:AV33)</f>
        <v>3569.8221372749258</v>
      </c>
      <c r="AX33" s="74"/>
      <c r="AY33" s="70">
        <f>L33</f>
        <v>1658.8926569858336</v>
      </c>
      <c r="AZ33" s="70">
        <f>L33</f>
        <v>1658.8926569858336</v>
      </c>
      <c r="BA33" s="70">
        <f>L33</f>
        <v>1658.8926569858336</v>
      </c>
      <c r="BB33" s="282">
        <f t="shared" ref="BB33:BB43" si="149">SUM(AY33:BA33)</f>
        <v>4976.6779709575003</v>
      </c>
      <c r="BC33" s="74"/>
      <c r="BD33" s="70">
        <f>M33</f>
        <v>2463.3061075412716</v>
      </c>
      <c r="BE33" s="70">
        <f>M33</f>
        <v>2463.3061075412716</v>
      </c>
      <c r="BF33" s="70">
        <f>M33</f>
        <v>2463.3061075412716</v>
      </c>
      <c r="BG33" s="282">
        <f t="shared" ref="BG33:BG43" si="150">SUM(BD33:BF33)</f>
        <v>7389.9183226238147</v>
      </c>
      <c r="BH33" s="74"/>
      <c r="BI33" s="70">
        <f>N33</f>
        <v>3823.6586425125633</v>
      </c>
      <c r="BJ33" s="70">
        <f>N33</f>
        <v>3823.6586425125633</v>
      </c>
      <c r="BK33" s="70">
        <f>N33</f>
        <v>3823.6586425125633</v>
      </c>
      <c r="BL33" s="282">
        <f t="shared" ref="BL33:BL43" si="151">SUM(BI33:BK33)</f>
        <v>11470.975927537689</v>
      </c>
      <c r="BM33" s="74"/>
      <c r="BN33" s="70">
        <f>P33</f>
        <v>6146.8852495653928</v>
      </c>
      <c r="BO33" s="70">
        <f>P33</f>
        <v>6146.8852495653928</v>
      </c>
      <c r="BP33" s="70">
        <f>P33</f>
        <v>6146.8852495653928</v>
      </c>
      <c r="BQ33" s="282">
        <f t="shared" ref="BQ33:BQ43" si="152">SUM(BN33:BP33)</f>
        <v>18440.655748696179</v>
      </c>
      <c r="BR33" s="74"/>
      <c r="BS33" s="70">
        <f>Q33</f>
        <v>10161.124224941803</v>
      </c>
      <c r="BT33" s="70">
        <f>Q33</f>
        <v>10161.124224941803</v>
      </c>
      <c r="BU33" s="70">
        <f>Q33</f>
        <v>10161.124224941803</v>
      </c>
      <c r="BV33" s="282">
        <f t="shared" ref="BV33:BV43" si="153">SUM(BS33:BU33)</f>
        <v>30483.372674825408</v>
      </c>
      <c r="BW33" s="74"/>
      <c r="BX33" s="70">
        <f>R33</f>
        <v>17214.65096796535</v>
      </c>
      <c r="BY33" s="70">
        <f>R33</f>
        <v>17214.65096796535</v>
      </c>
      <c r="BZ33" s="70">
        <f>R33</f>
        <v>17214.65096796535</v>
      </c>
      <c r="CA33" s="282">
        <f t="shared" ref="CA33:CA43" si="154">SUM(BX33:BZ33)</f>
        <v>51643.952903896046</v>
      </c>
      <c r="CB33" s="74"/>
      <c r="CC33" s="70">
        <f>S33</f>
        <v>29852.204111783882</v>
      </c>
      <c r="CD33" s="70">
        <f>S33</f>
        <v>29852.204111783882</v>
      </c>
      <c r="CE33" s="70">
        <f>S33</f>
        <v>29852.204111783882</v>
      </c>
      <c r="CF33" s="282">
        <f t="shared" ref="CF33:CF43" si="155">SUM(CC33:CE33)</f>
        <v>89556.612335351645</v>
      </c>
      <c r="CG33" s="88"/>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1" t="s">
        <v>202</v>
      </c>
      <c r="B34" s="260">
        <v>0.1</v>
      </c>
      <c r="C34" s="293">
        <v>-5.0000000000000001E-3</v>
      </c>
      <c r="D34" s="118"/>
      <c r="E34" s="117"/>
      <c r="F34" s="130">
        <v>20000</v>
      </c>
      <c r="G34" s="131">
        <v>20000</v>
      </c>
      <c r="H34" s="70">
        <f>SUM((IF(ISBLANK(D34),B34,D34)*(H30/3))+(G34))</f>
        <v>20599.797079496351</v>
      </c>
      <c r="I34" s="70">
        <f>SUM(IF(ISBLANK(D34),      (IF((1*(IF(ISBLANK(E34),C34,E34)) + B34) &lt; 0,     0,     (1*(IF(ISBLANK(E34),C34,E34)) + B34)   )),       (IF((1*(IF(ISBLANK(E34),C34,E34)) + D34) &lt; 0,     0,     (1*(IF(ISBLANK(E34),C34,E34)) + D34)   ))  )       *   (I30/3)+(H34))</f>
        <v>23683.79065525375</v>
      </c>
      <c r="J34" s="282">
        <f t="shared" ref="J34:J45" si="156">SUM(AC34+AH34+AM34+AR34)</f>
        <v>252850.76320425031</v>
      </c>
      <c r="K34" s="70">
        <f>SUM(IF(ISBLANK(D34),      (IF((2*(IF(ISBLANK(E34),C34,E34)) + B34) &lt; 0,     0,     (2*(IF(ISBLANK(E34),C34,E34)) + B34)   )),       (IF((2*(IF(ISBLANK(E34),C34,E34)) + D34) &lt; 0,     0,     (2*(IF(ISBLANK(E34),C34,E34)) + D34)   ))  )       *   (K30/3)+(I34))</f>
        <v>29748.517810624384</v>
      </c>
      <c r="L34" s="70">
        <f>SUM(IF(ISBLANK(D34),      (IF((3*(IF(ISBLANK(E34),C34,E34)) + B34) &lt; 0,     0,     (3*(IF(ISBLANK(E34),C34,E34)) + B34)   )),       (IF((3*(IF(ISBLANK(E34),C34,E34)) + D34) &lt; 0,     0,     (3*(IF(ISBLANK(E34),C34,E34)) + D34)   ))  )       *   (L30/3)+(K34))</f>
        <v>41472.31642464584</v>
      </c>
      <c r="M34" s="70">
        <f>SUM(IF(ISBLANK(D34),      (IF((4*(IF(ISBLANK(E34),C34,E34)) + B34) &lt; 0,     0,     (4*(IF(ISBLANK(E34),C34,E34)) + B34)   )),       (IF((4*(IF(ISBLANK(E34),C34,E34)) + D34) &lt; 0,     0,     (4*(IF(ISBLANK(E34),C34,E34)) + D34)   ))  )       *   (M30/3)+(L34))</f>
        <v>61582.652688531787</v>
      </c>
      <c r="N34" s="70">
        <f>SUM(IF(ISBLANK(D34),      (IF((5*(IF(ISBLANK(E34),C34,E34)) + B34) &lt; 0,     0,     (5*(IF(ISBLANK(E34),C34,E34)) + B34)   )),       (IF((5*(IF(ISBLANK(E34),C34,E34)) + D34) &lt; 0,     0,     (5*(IF(ISBLANK(E34),C34,E34)) + D34)   ))  )       *   (N30/3)+(M34))</f>
        <v>95591.466062814085</v>
      </c>
      <c r="O34" s="282">
        <f t="shared" ref="O34:O45" si="157">SUM(AW34+BB34+BG34+BL34)</f>
        <v>685184.85895984829</v>
      </c>
      <c r="P34" s="70">
        <f>SUM(IF(ISBLANK(D34),      (IF((6*(IF(ISBLANK(E34),C34,E34)) + B34) &lt; 0,     0,     (6*(IF(ISBLANK(E34),C34,E34)) + B34)   )),       (IF((6*(IF(ISBLANK(E34),C34,E34)) + D34) &lt; 0,     0,     (6*(IF(ISBLANK(E34),C34,E34)) + D34)   ))  )       *   (P30/3)+(N34))</f>
        <v>153672.13123913482</v>
      </c>
      <c r="Q34" s="70">
        <f>SUM(IF(ISBLANK(D34),      (IF((7*(IF(ISBLANK(E34),C34,E34)) + B34) &lt; 0,     0,     (7*(IF(ISBLANK(E34),C34,E34)) + B34)   )),       (IF((7*(IF(ISBLANK(E34),C34,E34)) + D34) &lt; 0,     0,     (7*(IF(ISBLANK(E34),C34,E34)) + D34)   ))  )       *   (Q30/3)+(P34))</f>
        <v>254028.10562354507</v>
      </c>
      <c r="R34" s="70">
        <f>SUM(IF(ISBLANK(D34),      (IF((8*(IF(ISBLANK(E34),C34,E34)) + B34) &lt; 0,     0,     (8*(IF(ISBLANK(E34),C34,E34)) + B34)   )),       (IF((8*(IF(ISBLANK(E34),C34,E34)) + D34) &lt; 0,     0,     (8*(IF(ISBLANK(E34),C34,E34)) + D34)   ))  )       *   (R30/3)+(Q34))</f>
        <v>430366.27419913374</v>
      </c>
      <c r="S34" s="70">
        <f>SUM(IF(ISBLANK(D34),      (IF((9*(IF(ISBLANK(E34),C34,E34)) + B34) &lt; 0,     0,     (9*(IF(ISBLANK(E34),C34,E34)) + B34)   )),       (IF((9*(IF(ISBLANK(E34),C34,E34)) + D34) &lt; 0,     0,     (9*(IF(ISBLANK(E34),C34,E34)) + D34)   ))  )       *   (S30/3)+(R34))</f>
        <v>746305.10279459704</v>
      </c>
      <c r="T34" s="305">
        <f t="shared" ref="T34:T45" si="158">SUM(BQ34+BV34+CA34+CF34)</f>
        <v>4753114.8415692318</v>
      </c>
      <c r="U34" s="281">
        <f>SUM(IF(ISBLANK(D34),      (IF((10*(IF(ISBLANK(E34),C34,E34)) + B34) &lt; 0,     0,     (10*(IF(ISBLANK(E34),C34,E34)) + B34)   )),       (IF((10*(IF(ISBLANK(E34),C34,E34)) + D34) &lt; 0,     0,     (10*(IF(ISBLANK(E34),C34,E34)) + D34)   ))  )       *   (U30/3)+(S34))*12</f>
        <v>47386396.607444778</v>
      </c>
      <c r="V34" s="282">
        <f>SUM(IF(ISBLANK(D34),      (IF((11*(IF(ISBLANK(E34),C34,E34)) + B34) &lt; 0,     0,     (11*(IF(ISBLANK(E34),C34,E34)) + B34)   )),       (IF((11*(IF(ISBLANK(E34),C34,E34)) + D34) &lt; 0,     0,     (11*(IF(ISBLANK(E34),C34,E34)) + D34)   ))  )       *   (V30/12)+(U34/12))*12</f>
        <v>72910900.583644539</v>
      </c>
      <c r="W34" s="283">
        <f>SUM(IF(ISBLANK(D34),      (IF((12*(IF(ISBLANK(E34),C34,E34)) + B34) &lt; 0,     0,     (12*(IF(ISBLANK(E34),C34,E34)) + B34)   )),       (IF((12*(IF(ISBLANK(E34),C34,E34)) + D34) &lt; 0,     0,     (12*(IF(ISBLANK(E34),C34,E34)) + D34)   ))  )       *   (W30/12)+(V34/12))*12</f>
        <v>124322650.2053432</v>
      </c>
      <c r="X34" s="177"/>
      <c r="Y34" s="505">
        <f>SUM(30664+342396+71683+36198+34170+34090+28752+50203+25449+25629+23773+25295+25295+20000)</f>
        <v>773597</v>
      </c>
      <c r="Z34" s="70">
        <f t="shared" ref="Z34:Z46" si="159">F34</f>
        <v>20000</v>
      </c>
      <c r="AA34" s="70">
        <f t="shared" ref="AA34:AA46" si="160">F34</f>
        <v>20000</v>
      </c>
      <c r="AB34" s="70">
        <f t="shared" ref="AB34:AB46" si="161">F34</f>
        <v>20000</v>
      </c>
      <c r="AC34" s="282">
        <f t="shared" si="144"/>
        <v>60000</v>
      </c>
      <c r="AD34" s="74"/>
      <c r="AE34" s="70">
        <f t="shared" ref="AE34:AE46" si="162">G34</f>
        <v>20000</v>
      </c>
      <c r="AF34" s="70">
        <f t="shared" ref="AF34:AF46" si="163">G34</f>
        <v>20000</v>
      </c>
      <c r="AG34" s="70">
        <f t="shared" ref="AG34:AG46" si="164">G34</f>
        <v>20000</v>
      </c>
      <c r="AH34" s="282">
        <f t="shared" si="145"/>
        <v>60000</v>
      </c>
      <c r="AI34" s="74"/>
      <c r="AJ34" s="70">
        <f t="shared" ref="AJ34:AJ46" si="165">H34</f>
        <v>20599.797079496351</v>
      </c>
      <c r="AK34" s="70">
        <f t="shared" ref="AK34:AK46" si="166">H34</f>
        <v>20599.797079496351</v>
      </c>
      <c r="AL34" s="70">
        <f t="shared" ref="AL34:AL46" si="167">H34</f>
        <v>20599.797079496351</v>
      </c>
      <c r="AM34" s="282">
        <f t="shared" si="146"/>
        <v>61799.391238489057</v>
      </c>
      <c r="AN34" s="74"/>
      <c r="AO34" s="70">
        <f t="shared" ref="AO34:AO46" si="168">I34</f>
        <v>23683.79065525375</v>
      </c>
      <c r="AP34" s="70">
        <f t="shared" ref="AP34:AP46" si="169">I34</f>
        <v>23683.79065525375</v>
      </c>
      <c r="AQ34" s="70">
        <f t="shared" ref="AQ34:AQ46" si="170">I34</f>
        <v>23683.79065525375</v>
      </c>
      <c r="AR34" s="282">
        <f t="shared" si="147"/>
        <v>71051.371965761253</v>
      </c>
      <c r="AS34" s="74"/>
      <c r="AT34" s="70">
        <f t="shared" ref="AT34:AT46" si="171">K34</f>
        <v>29748.517810624384</v>
      </c>
      <c r="AU34" s="70">
        <f t="shared" ref="AU34:AU46" si="172">K34</f>
        <v>29748.517810624384</v>
      </c>
      <c r="AV34" s="70">
        <f t="shared" ref="AV34:AV46" si="173">K34</f>
        <v>29748.517810624384</v>
      </c>
      <c r="AW34" s="282">
        <f t="shared" si="148"/>
        <v>89245.553431873152</v>
      </c>
      <c r="AX34" s="74"/>
      <c r="AY34" s="70">
        <f t="shared" ref="AY34:AY46" si="174">L34</f>
        <v>41472.31642464584</v>
      </c>
      <c r="AZ34" s="70">
        <f t="shared" ref="AZ34:AZ46" si="175">L34</f>
        <v>41472.31642464584</v>
      </c>
      <c r="BA34" s="70">
        <f t="shared" ref="BA34:BA46" si="176">L34</f>
        <v>41472.31642464584</v>
      </c>
      <c r="BB34" s="282">
        <f t="shared" si="149"/>
        <v>124416.94927393753</v>
      </c>
      <c r="BC34" s="74"/>
      <c r="BD34" s="70">
        <f t="shared" ref="BD34:BD46" si="177">M34</f>
        <v>61582.652688531787</v>
      </c>
      <c r="BE34" s="70">
        <f t="shared" ref="BE34:BE46" si="178">M34</f>
        <v>61582.652688531787</v>
      </c>
      <c r="BF34" s="70">
        <f t="shared" ref="BF34:BF46" si="179">M34</f>
        <v>61582.652688531787</v>
      </c>
      <c r="BG34" s="282">
        <f t="shared" si="150"/>
        <v>184747.95806559536</v>
      </c>
      <c r="BH34" s="74"/>
      <c r="BI34" s="70">
        <f t="shared" ref="BI34:BI46" si="180">N34</f>
        <v>95591.466062814085</v>
      </c>
      <c r="BJ34" s="70">
        <f t="shared" ref="BJ34:BJ46" si="181">N34</f>
        <v>95591.466062814085</v>
      </c>
      <c r="BK34" s="70">
        <f t="shared" ref="BK34:BK46" si="182">N34</f>
        <v>95591.466062814085</v>
      </c>
      <c r="BL34" s="282">
        <f t="shared" si="151"/>
        <v>286774.39818844222</v>
      </c>
      <c r="BM34" s="74"/>
      <c r="BN34" s="70">
        <f t="shared" ref="BN34:BN46" si="183">P34</f>
        <v>153672.13123913482</v>
      </c>
      <c r="BO34" s="70">
        <f t="shared" ref="BO34:BO43" si="184">P34</f>
        <v>153672.13123913482</v>
      </c>
      <c r="BP34" s="70">
        <f t="shared" ref="BP34:BP46" si="185">P34</f>
        <v>153672.13123913482</v>
      </c>
      <c r="BQ34" s="282">
        <f t="shared" si="152"/>
        <v>461016.39371740445</v>
      </c>
      <c r="BR34" s="74"/>
      <c r="BS34" s="70">
        <f t="shared" ref="BS34:BS46" si="186">Q34</f>
        <v>254028.10562354507</v>
      </c>
      <c r="BT34" s="70">
        <f t="shared" ref="BT34:BT46" si="187">Q34</f>
        <v>254028.10562354507</v>
      </c>
      <c r="BU34" s="70">
        <f t="shared" ref="BU34:BU46" si="188">Q34</f>
        <v>254028.10562354507</v>
      </c>
      <c r="BV34" s="282">
        <f t="shared" si="153"/>
        <v>762084.31687063514</v>
      </c>
      <c r="BW34" s="74"/>
      <c r="BX34" s="70">
        <f t="shared" ref="BX34:BX46" si="189">R34</f>
        <v>430366.27419913374</v>
      </c>
      <c r="BY34" s="70">
        <f t="shared" ref="BY34:BY46" si="190">R34</f>
        <v>430366.27419913374</v>
      </c>
      <c r="BZ34" s="70">
        <f t="shared" ref="BZ34:BZ46" si="191">R34</f>
        <v>430366.27419913374</v>
      </c>
      <c r="CA34" s="282">
        <f t="shared" si="154"/>
        <v>1291098.8225974012</v>
      </c>
      <c r="CB34" s="74"/>
      <c r="CC34" s="70">
        <f t="shared" ref="CC34:CC46" si="192">S34</f>
        <v>746305.10279459704</v>
      </c>
      <c r="CD34" s="70">
        <f t="shared" ref="CD34:CD46" si="193">S34</f>
        <v>746305.10279459704</v>
      </c>
      <c r="CE34" s="70">
        <f t="shared" ref="CE34:CE46" si="194">S34</f>
        <v>746305.10279459704</v>
      </c>
      <c r="CF34" s="282">
        <f t="shared" si="155"/>
        <v>2238915.3083837912</v>
      </c>
      <c r="CG34" s="88"/>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1" t="s">
        <v>203</v>
      </c>
      <c r="B35" s="281">
        <v>0</v>
      </c>
      <c r="C35" s="293">
        <v>0.01</v>
      </c>
      <c r="D35" s="116"/>
      <c r="E35" s="117"/>
      <c r="F35" s="104">
        <f>SUM((IF(ISBLANK(D35),B35,D35))+(F34*(IF(ISBLANK(E35),C35,E35))))</f>
        <v>200</v>
      </c>
      <c r="G35" s="70">
        <f>SUM((IF(ISBLANK(D35),B35,D35))+(G34*(IF(ISBLANK(E35),C35,E35))))</f>
        <v>200</v>
      </c>
      <c r="H35" s="70">
        <f>SUM((IF(ISBLANK(D35),B35,D35))+(H34*(IF(ISBLANK(E35),C35,E35))))</f>
        <v>205.99797079496352</v>
      </c>
      <c r="I35" s="70">
        <f>SUM((IF(ISBLANK(D35),B35,D35))+(I34*(IF(ISBLANK(E35),C35,E35))))</f>
        <v>236.8379065525375</v>
      </c>
      <c r="J35" s="282">
        <f t="shared" si="156"/>
        <v>2528.5076320425032</v>
      </c>
      <c r="K35" s="70">
        <f>SUM((IF(ISBLANK(D35),B35,D35))+(K34*(IF(ISBLANK(E35),C35,E35))))</f>
        <v>297.48517810624384</v>
      </c>
      <c r="L35" s="70">
        <f>SUM((IF(ISBLANK(D35),B35,D35))+(L34*(IF(ISBLANK(E35),C35,E35))))</f>
        <v>414.7231642464584</v>
      </c>
      <c r="M35" s="70">
        <f>SUM((IF(ISBLANK(D35),B35,D35))+(M34*(IF(ISBLANK(E35),C35,E35))))</f>
        <v>615.82652688531789</v>
      </c>
      <c r="N35" s="70">
        <f>SUM((IF(ISBLANK(D35),B35,D35))+(N34*(IF(ISBLANK(E35),C35,E35))))</f>
        <v>955.91466062814084</v>
      </c>
      <c r="O35" s="282">
        <f t="shared" si="157"/>
        <v>6851.8485895984832</v>
      </c>
      <c r="P35" s="70">
        <f>SUM((IF(ISBLANK(D35),B35,D35))+(P34*(IF(ISBLANK(E35),C35,E35))))</f>
        <v>1536.7213123913482</v>
      </c>
      <c r="Q35" s="70">
        <f>SUM((IF(ISBLANK(D35),B35,D35))+(Q34*(IF(ISBLANK(E35),C35,E35))))</f>
        <v>2540.2810562354507</v>
      </c>
      <c r="R35" s="70">
        <f>SUM((IF(ISBLANK(D35),B35,D35))+(R34*(IF(ISBLANK(E35),C35,E35))))</f>
        <v>4303.6627419913375</v>
      </c>
      <c r="S35" s="70">
        <f>SUM((IF(ISBLANK(D35),B35,D35))+(S34*(IF(ISBLANK(E35),C35,E35))))</f>
        <v>7463.0510279459704</v>
      </c>
      <c r="T35" s="305">
        <f t="shared" si="158"/>
        <v>47531.148415692318</v>
      </c>
      <c r="U35" s="281">
        <f>SUM((IF(ISBLANK(D35),B35,D35))+(U34*(IF(ISBLANK(E35),C35,E35))))</f>
        <v>473863.96607444779</v>
      </c>
      <c r="V35" s="282">
        <f>SUM((IF(ISBLANK(D35),B35,D35))+(V34*(IF(ISBLANK(E35),C35,E35))))</f>
        <v>729109.00583644537</v>
      </c>
      <c r="W35" s="283">
        <f>SUM((IF(ISBLANK(D35),B35,D35))+(W34*(IF(ISBLANK(E35),C35,E35))))</f>
        <v>1243226.5020534319</v>
      </c>
      <c r="X35" s="177"/>
      <c r="Y35" s="505">
        <v>4000</v>
      </c>
      <c r="Z35" s="70">
        <f t="shared" si="159"/>
        <v>200</v>
      </c>
      <c r="AA35" s="70">
        <f t="shared" si="160"/>
        <v>200</v>
      </c>
      <c r="AB35" s="70">
        <f t="shared" si="161"/>
        <v>200</v>
      </c>
      <c r="AC35" s="282">
        <f t="shared" si="144"/>
        <v>600</v>
      </c>
      <c r="AD35" s="74"/>
      <c r="AE35" s="70">
        <f t="shared" si="162"/>
        <v>200</v>
      </c>
      <c r="AF35" s="70">
        <f t="shared" si="163"/>
        <v>200</v>
      </c>
      <c r="AG35" s="70">
        <f t="shared" si="164"/>
        <v>200</v>
      </c>
      <c r="AH35" s="282">
        <f t="shared" si="145"/>
        <v>600</v>
      </c>
      <c r="AI35" s="74"/>
      <c r="AJ35" s="70">
        <f t="shared" si="165"/>
        <v>205.99797079496352</v>
      </c>
      <c r="AK35" s="70">
        <f t="shared" si="166"/>
        <v>205.99797079496352</v>
      </c>
      <c r="AL35" s="70">
        <f t="shared" si="167"/>
        <v>205.99797079496352</v>
      </c>
      <c r="AM35" s="282">
        <f t="shared" si="146"/>
        <v>617.99391238489056</v>
      </c>
      <c r="AN35" s="74"/>
      <c r="AO35" s="70">
        <f t="shared" si="168"/>
        <v>236.8379065525375</v>
      </c>
      <c r="AP35" s="70">
        <f t="shared" si="169"/>
        <v>236.8379065525375</v>
      </c>
      <c r="AQ35" s="70">
        <f t="shared" si="170"/>
        <v>236.8379065525375</v>
      </c>
      <c r="AR35" s="282">
        <f t="shared" si="147"/>
        <v>710.51371965761246</v>
      </c>
      <c r="AS35" s="74"/>
      <c r="AT35" s="70">
        <f t="shared" si="171"/>
        <v>297.48517810624384</v>
      </c>
      <c r="AU35" s="70">
        <f t="shared" si="172"/>
        <v>297.48517810624384</v>
      </c>
      <c r="AV35" s="70">
        <f t="shared" si="173"/>
        <v>297.48517810624384</v>
      </c>
      <c r="AW35" s="282">
        <f t="shared" si="148"/>
        <v>892.45553431873145</v>
      </c>
      <c r="AX35" s="74"/>
      <c r="AY35" s="70">
        <f t="shared" si="174"/>
        <v>414.7231642464584</v>
      </c>
      <c r="AZ35" s="70">
        <f t="shared" si="175"/>
        <v>414.7231642464584</v>
      </c>
      <c r="BA35" s="70">
        <f t="shared" si="176"/>
        <v>414.7231642464584</v>
      </c>
      <c r="BB35" s="282">
        <f t="shared" si="149"/>
        <v>1244.1694927393751</v>
      </c>
      <c r="BC35" s="74"/>
      <c r="BD35" s="70">
        <f t="shared" si="177"/>
        <v>615.82652688531789</v>
      </c>
      <c r="BE35" s="70">
        <f t="shared" si="178"/>
        <v>615.82652688531789</v>
      </c>
      <c r="BF35" s="70">
        <f t="shared" si="179"/>
        <v>615.82652688531789</v>
      </c>
      <c r="BG35" s="282">
        <f t="shared" si="150"/>
        <v>1847.4795806559537</v>
      </c>
      <c r="BH35" s="74"/>
      <c r="BI35" s="70">
        <f t="shared" si="180"/>
        <v>955.91466062814084</v>
      </c>
      <c r="BJ35" s="70">
        <f t="shared" si="181"/>
        <v>955.91466062814084</v>
      </c>
      <c r="BK35" s="70">
        <f t="shared" si="182"/>
        <v>955.91466062814084</v>
      </c>
      <c r="BL35" s="282">
        <f t="shared" si="151"/>
        <v>2867.7439818844223</v>
      </c>
      <c r="BM35" s="74"/>
      <c r="BN35" s="70">
        <f t="shared" si="183"/>
        <v>1536.7213123913482</v>
      </c>
      <c r="BO35" s="70">
        <f t="shared" si="184"/>
        <v>1536.7213123913482</v>
      </c>
      <c r="BP35" s="70">
        <f t="shared" si="185"/>
        <v>1536.7213123913482</v>
      </c>
      <c r="BQ35" s="282">
        <f t="shared" si="152"/>
        <v>4610.1639371740448</v>
      </c>
      <c r="BR35" s="74"/>
      <c r="BS35" s="70">
        <f t="shared" si="186"/>
        <v>2540.2810562354507</v>
      </c>
      <c r="BT35" s="70">
        <f t="shared" si="187"/>
        <v>2540.2810562354507</v>
      </c>
      <c r="BU35" s="70">
        <f t="shared" si="188"/>
        <v>2540.2810562354507</v>
      </c>
      <c r="BV35" s="282">
        <f t="shared" si="153"/>
        <v>7620.8431687063521</v>
      </c>
      <c r="BW35" s="74"/>
      <c r="BX35" s="70">
        <f t="shared" si="189"/>
        <v>4303.6627419913375</v>
      </c>
      <c r="BY35" s="70">
        <f t="shared" si="190"/>
        <v>4303.6627419913375</v>
      </c>
      <c r="BZ35" s="70">
        <f t="shared" si="191"/>
        <v>4303.6627419913375</v>
      </c>
      <c r="CA35" s="282">
        <f t="shared" si="154"/>
        <v>12910.988225974012</v>
      </c>
      <c r="CB35" s="74"/>
      <c r="CC35" s="70">
        <f t="shared" si="192"/>
        <v>7463.0510279459704</v>
      </c>
      <c r="CD35" s="70">
        <f t="shared" si="193"/>
        <v>7463.0510279459704</v>
      </c>
      <c r="CE35" s="70">
        <f t="shared" si="194"/>
        <v>7463.0510279459704</v>
      </c>
      <c r="CF35" s="282">
        <f t="shared" si="155"/>
        <v>22389.153083837911</v>
      </c>
      <c r="CG35" s="88"/>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1" t="s">
        <v>204</v>
      </c>
      <c r="B36" s="281">
        <v>1500</v>
      </c>
      <c r="C36" s="293">
        <v>0.06</v>
      </c>
      <c r="D36" s="116"/>
      <c r="E36" s="117"/>
      <c r="F36" s="104">
        <f>SUM((IF(ISBLANK(D36),B36,D36))+(F34*(IF(ISBLANK(E36),C36,E36))))</f>
        <v>2700</v>
      </c>
      <c r="G36" s="70">
        <f>SUM((IF(ISBLANK(D36),B36,D36))+(G34*(IF(ISBLANK(E36),C36,E36))))</f>
        <v>2700</v>
      </c>
      <c r="H36" s="70">
        <f>SUM((IF(ISBLANK(D36),B36,D36))+(H34*(IF(ISBLANK(E36),C36,E36))))</f>
        <v>2735.9878247697811</v>
      </c>
      <c r="I36" s="70">
        <f>SUM((IF(ISBLANK(D36),B36,D36))+(I34*(IF(ISBLANK(E36),C36,E36))))</f>
        <v>2921.0274393152249</v>
      </c>
      <c r="J36" s="282">
        <f t="shared" si="156"/>
        <v>33171.045792255012</v>
      </c>
      <c r="K36" s="70">
        <f>SUM((IF(ISBLANK(D36),B36,D36))+(K34*(IF(ISBLANK(E36),C36,E36))))</f>
        <v>3284.9110686374629</v>
      </c>
      <c r="L36" s="70">
        <f>SUM((IF(ISBLANK(D36),B36,D36))+(L34*(IF(ISBLANK(E36),C36,E36))))</f>
        <v>3988.3389854787501</v>
      </c>
      <c r="M36" s="70">
        <f>SUM((IF(ISBLANK(D36),B36,D36))+(M34*(IF(ISBLANK(E36),C36,E36))))</f>
        <v>5194.9591613119064</v>
      </c>
      <c r="N36" s="70">
        <f>SUM((IF(ISBLANK(D36),B36,D36))+(N34*(IF(ISBLANK(E36),C36,E36))))</f>
        <v>7235.4879637688446</v>
      </c>
      <c r="O36" s="282">
        <f t="shared" si="157"/>
        <v>59111.091537590895</v>
      </c>
      <c r="P36" s="70">
        <f>SUM((IF(ISBLANK(D36),B36,D36))+(P34*(IF(ISBLANK(E36),C36,E36))))</f>
        <v>10720.32787434809</v>
      </c>
      <c r="Q36" s="70">
        <f>SUM((IF(ISBLANK(D36),B36,D36))+(Q34*(IF(ISBLANK(E36),C36,E36))))</f>
        <v>16741.686337412706</v>
      </c>
      <c r="R36" s="70">
        <f>SUM((IF(ISBLANK(D36),B36,D36))+(R34*(IF(ISBLANK(E36),C36,E36))))</f>
        <v>27321.976451948023</v>
      </c>
      <c r="S36" s="70">
        <f>SUM((IF(ISBLANK(D36),B36,D36))+(S34*(IF(ISBLANK(E36),C36,E36))))</f>
        <v>46278.306167675823</v>
      </c>
      <c r="T36" s="305">
        <f t="shared" si="158"/>
        <v>303186.89049415395</v>
      </c>
      <c r="U36" s="281">
        <f>SUM((IF(ISBLANK(D36),B36,D36))+(U34*(IF(ISBLANK(E36),C36,E36))))</f>
        <v>2844683.7964466866</v>
      </c>
      <c r="V36" s="282">
        <f>SUM((IF(ISBLANK(D36),B36,D36))+(V34*(IF(ISBLANK(E36),C36,E36))))</f>
        <v>4376154.0350186722</v>
      </c>
      <c r="W36" s="283">
        <f>SUM((IF(ISBLANK(D36),B36,D36))+(W34*(IF(ISBLANK(E36),C36,E36))))</f>
        <v>7460859.0123205921</v>
      </c>
      <c r="X36" s="177"/>
      <c r="Y36" s="505">
        <f>SUM(3832+10734+12859+20000)</f>
        <v>47425</v>
      </c>
      <c r="Z36" s="70">
        <f t="shared" si="159"/>
        <v>2700</v>
      </c>
      <c r="AA36" s="70">
        <f t="shared" si="160"/>
        <v>2700</v>
      </c>
      <c r="AB36" s="70">
        <f t="shared" si="161"/>
        <v>2700</v>
      </c>
      <c r="AC36" s="282">
        <f t="shared" si="144"/>
        <v>8100</v>
      </c>
      <c r="AD36" s="74"/>
      <c r="AE36" s="70">
        <f t="shared" si="162"/>
        <v>2700</v>
      </c>
      <c r="AF36" s="70">
        <f t="shared" si="163"/>
        <v>2700</v>
      </c>
      <c r="AG36" s="70">
        <f t="shared" si="164"/>
        <v>2700</v>
      </c>
      <c r="AH36" s="282">
        <f t="shared" si="145"/>
        <v>8100</v>
      </c>
      <c r="AI36" s="74"/>
      <c r="AJ36" s="70">
        <f t="shared" si="165"/>
        <v>2735.9878247697811</v>
      </c>
      <c r="AK36" s="70">
        <f t="shared" si="166"/>
        <v>2735.9878247697811</v>
      </c>
      <c r="AL36" s="70">
        <f t="shared" si="167"/>
        <v>2735.9878247697811</v>
      </c>
      <c r="AM36" s="282">
        <f t="shared" si="146"/>
        <v>8207.9634743093429</v>
      </c>
      <c r="AN36" s="74"/>
      <c r="AO36" s="70">
        <f t="shared" si="168"/>
        <v>2921.0274393152249</v>
      </c>
      <c r="AP36" s="70">
        <f t="shared" si="169"/>
        <v>2921.0274393152249</v>
      </c>
      <c r="AQ36" s="70">
        <f t="shared" si="170"/>
        <v>2921.0274393152249</v>
      </c>
      <c r="AR36" s="282">
        <f t="shared" si="147"/>
        <v>8763.0823179456747</v>
      </c>
      <c r="AS36" s="74"/>
      <c r="AT36" s="70">
        <f t="shared" si="171"/>
        <v>3284.9110686374629</v>
      </c>
      <c r="AU36" s="70">
        <f t="shared" si="172"/>
        <v>3284.9110686374629</v>
      </c>
      <c r="AV36" s="70">
        <f t="shared" si="173"/>
        <v>3284.9110686374629</v>
      </c>
      <c r="AW36" s="282">
        <f t="shared" si="148"/>
        <v>9854.7332059123892</v>
      </c>
      <c r="AX36" s="74"/>
      <c r="AY36" s="70">
        <f t="shared" si="174"/>
        <v>3988.3389854787501</v>
      </c>
      <c r="AZ36" s="70">
        <f>L36</f>
        <v>3988.3389854787501</v>
      </c>
      <c r="BA36" s="70">
        <f t="shared" si="176"/>
        <v>3988.3389854787501</v>
      </c>
      <c r="BB36" s="282">
        <f t="shared" si="149"/>
        <v>11965.016956436251</v>
      </c>
      <c r="BC36" s="74"/>
      <c r="BD36" s="70">
        <f t="shared" si="177"/>
        <v>5194.9591613119064</v>
      </c>
      <c r="BE36" s="70">
        <f t="shared" si="178"/>
        <v>5194.9591613119064</v>
      </c>
      <c r="BF36" s="70">
        <f t="shared" si="179"/>
        <v>5194.9591613119064</v>
      </c>
      <c r="BG36" s="282">
        <f t="shared" si="150"/>
        <v>15584.877483935719</v>
      </c>
      <c r="BH36" s="74"/>
      <c r="BI36" s="70">
        <f t="shared" si="180"/>
        <v>7235.4879637688446</v>
      </c>
      <c r="BJ36" s="70">
        <f t="shared" si="181"/>
        <v>7235.4879637688446</v>
      </c>
      <c r="BK36" s="70">
        <f t="shared" si="182"/>
        <v>7235.4879637688446</v>
      </c>
      <c r="BL36" s="282">
        <f t="shared" si="151"/>
        <v>21706.463891306536</v>
      </c>
      <c r="BM36" s="74"/>
      <c r="BN36" s="70">
        <f t="shared" si="183"/>
        <v>10720.32787434809</v>
      </c>
      <c r="BO36" s="70">
        <f t="shared" si="184"/>
        <v>10720.32787434809</v>
      </c>
      <c r="BP36" s="70">
        <f t="shared" si="185"/>
        <v>10720.32787434809</v>
      </c>
      <c r="BQ36" s="282">
        <f t="shared" si="152"/>
        <v>32160.983623044267</v>
      </c>
      <c r="BR36" s="74"/>
      <c r="BS36" s="70">
        <f t="shared" si="186"/>
        <v>16741.686337412706</v>
      </c>
      <c r="BT36" s="70">
        <f t="shared" si="187"/>
        <v>16741.686337412706</v>
      </c>
      <c r="BU36" s="70">
        <f t="shared" si="188"/>
        <v>16741.686337412706</v>
      </c>
      <c r="BV36" s="282">
        <f t="shared" si="153"/>
        <v>50225.059012238118</v>
      </c>
      <c r="BW36" s="74"/>
      <c r="BX36" s="70">
        <f t="shared" si="189"/>
        <v>27321.976451948023</v>
      </c>
      <c r="BY36" s="70">
        <f t="shared" si="190"/>
        <v>27321.976451948023</v>
      </c>
      <c r="BZ36" s="70">
        <f t="shared" si="191"/>
        <v>27321.976451948023</v>
      </c>
      <c r="CA36" s="282">
        <f t="shared" si="154"/>
        <v>81965.92935584407</v>
      </c>
      <c r="CB36" s="74"/>
      <c r="CC36" s="70">
        <f t="shared" si="192"/>
        <v>46278.306167675823</v>
      </c>
      <c r="CD36" s="70">
        <f t="shared" si="193"/>
        <v>46278.306167675823</v>
      </c>
      <c r="CE36" s="70">
        <f t="shared" si="194"/>
        <v>46278.306167675823</v>
      </c>
      <c r="CF36" s="282">
        <f t="shared" si="155"/>
        <v>138834.91850302747</v>
      </c>
      <c r="CG36" s="88"/>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1" t="s">
        <v>205</v>
      </c>
      <c r="B37" s="260">
        <v>0.3</v>
      </c>
      <c r="C37" s="293">
        <v>-1.4999999999999999E-2</v>
      </c>
      <c r="D37" s="118"/>
      <c r="E37" s="117"/>
      <c r="F37" s="104">
        <f>SUM((IF(AC21*((0*(IF(ISBLANK(E37),C37,E37)))+IF(ISBLANK(D37),B37,D37)) &lt; 0, 0, (AC21*((0*(IF(ISBLANK(E37),C37,E37)))+IF(ISBLANK(D37),B37,D37)))))/3)</f>
        <v>0</v>
      </c>
      <c r="G37" s="70">
        <f>SUM((IF(AH21*((0*(IF(ISBLANK(E37),C37,E37)))+IF(ISBLANK(D37),B37,D37)) &lt; 0, 0, (AH21*((0*(IF(ISBLANK(E37),C37,E37)))+IF(ISBLANK(D37),B37,D37)))))/3)</f>
        <v>0</v>
      </c>
      <c r="H37" s="70">
        <f>SUM((IF(AM21*((0*(IF(ISBLANK(E37),C37,E37)))+IF(ISBLANK(D37),B37,D37)) &lt; 0, 0, (AM21*((0*(IF(ISBLANK(E37),C37,E37)))+IF(ISBLANK(D37),B37,D37)))))/3)</f>
        <v>1799.3912384890557</v>
      </c>
      <c r="I37" s="70">
        <f>SUM((IF(AR21*((1*(IF(ISBLANK(E37),C37,E37)))+IF(ISBLANK(D37),B37,D37)) &lt; 0, 0, (AR21*((1*(IF(ISBLANK(E37),C37,E37)))+IF(ISBLANK(D37),B37,D37)))))/3)</f>
        <v>4821.4547451981871</v>
      </c>
      <c r="J37" s="282">
        <f t="shared" si="156"/>
        <v>19862.537951061728</v>
      </c>
      <c r="K37" s="70">
        <f>SUM((IF(AW21*((2*(IF(ISBLANK(E37),C37,E37)))+IF(ISBLANK(D37),B37,D37)) &lt; 0, 0, (AW21*((2*(IF(ISBLANK(E37),C37,E37)))+IF(ISBLANK(D37),B37,D37)))))/3)</f>
        <v>8894.9331612102651</v>
      </c>
      <c r="L37" s="70">
        <f>SUM((IF(BB21*((3*(IF(ISBLANK(E37),C37,E37)))+IF(ISBLANK(D37),B37,D37)) &lt; 0, 0, (BB21*((3*(IF(ISBLANK(E37),C37,E37)))+IF(ISBLANK(D37),B37,D37)))))/3)</f>
        <v>14349.929503562262</v>
      </c>
      <c r="M37" s="70">
        <f>SUM((IF(BG21*((4*(IF(ISBLANK(E37),C37,E37)))+IF(ISBLANK(D37),B37,D37)) &lt; 0, 0, (BG21*((4*(IF(ISBLANK(E37),C37,E37)))+IF(ISBLANK(D37),B37,D37)))))/3)</f>
        <v>21869.990686975969</v>
      </c>
      <c r="N37" s="70">
        <f>SUM((IF(BL21*((5*(IF(ISBLANK(E37),C37,E37)))+IF(ISBLANK(D37),B37,D37)) &lt; 0, 0, (BL21*((5*(IF(ISBLANK(E37),C37,E37)))+IF(ISBLANK(D37),B37,D37)))))/3)</f>
        <v>34008.81337428229</v>
      </c>
      <c r="O37" s="282">
        <f t="shared" si="157"/>
        <v>237371.00017809233</v>
      </c>
      <c r="P37" s="70">
        <f>SUM((IF(BQ21*((6*(IF(ISBLANK(E37),C37,E37)))+IF(ISBLANK(D37),B37,D37)) &lt; 0, 0, (BQ21*((6*(IF(ISBLANK(E37),C37,E37)))+IF(ISBLANK(D37),B37,D37)))))/3)</f>
        <v>54545.320339501195</v>
      </c>
      <c r="Q37" s="70">
        <f>SUM((IF(BV21*((7*(IF(ISBLANK(E37),C37,E37)))+IF(ISBLANK(D37),B37,D37)) &lt; 0, 0, (BV21*((7*(IF(ISBLANK(E37),C37,E37)))+IF(ISBLANK(D37),B37,D37)))))/3)</f>
        <v>89752.324260774432</v>
      </c>
      <c r="R37" s="70">
        <f>SUM((IF(CA21*((8*(IF(ISBLANK(E37),C37,E37)))+IF(ISBLANK(D37),B37,D37)) &lt; 0, 0, (CA21*((8*(IF(ISBLANK(E37),C37,E37)))+IF(ISBLANK(D37),B37,D37)))))/3)</f>
        <v>151650.82497500622</v>
      </c>
      <c r="S37" s="70">
        <f>SUM((IF(CF21*((9*(IF(ISBLANK(E37),C37,E37)))+IF(ISBLANK(D37),B37,D37)) &lt; 0, 0, (CF21*((9*(IF(ISBLANK(E37),C37,E37)))+IF(ISBLANK(D37),B37,D37)))))/3)</f>
        <v>263125.17366607237</v>
      </c>
      <c r="T37" s="305">
        <f t="shared" si="158"/>
        <v>1677220.9297240628</v>
      </c>
      <c r="U37" s="281">
        <f>SUM((IF((U21*U18)*((10*(IF(ISBLANK(E37),C37,E37)))+IF(ISBLANK(D37),B37,D37)) &lt; 0, 0, ((U21*U18)*((10*(IF(ISBLANK(E37),C37,E37)))+IF(ISBLANK(D37),B37,D37))))))</f>
        <v>11346462.138589205</v>
      </c>
      <c r="V37" s="282">
        <f>SUM((IF((V21*V18)*((10*(IF(ISBLANK(E37),C37,E37)))+IF(ISBLANK(D37),B37,D37)) &lt; 0, 0, ((V21*V18)*((10*(IF(ISBLANK(E37),C37,E37)))+IF(ISBLANK(D37),B37,D37))))))</f>
        <v>30515830.958195891</v>
      </c>
      <c r="W37" s="283">
        <f>SUM((IF((W21*W18)*((10*(IF(ISBLANK(E37),C37,E37)))+IF(ISBLANK(D37),B37,D37)) &lt; 0, 0, ((W21*W18)*((10*(IF(ISBLANK(E37),C37,E37)))+IF(ISBLANK(D37),B37,D37))))))</f>
        <v>61466065.854562059</v>
      </c>
      <c r="X37" s="177"/>
      <c r="Y37" s="505">
        <v>0</v>
      </c>
      <c r="Z37" s="70">
        <f t="shared" si="159"/>
        <v>0</v>
      </c>
      <c r="AA37" s="70">
        <f t="shared" si="160"/>
        <v>0</v>
      </c>
      <c r="AB37" s="70">
        <f t="shared" si="161"/>
        <v>0</v>
      </c>
      <c r="AC37" s="282">
        <f>SUM(Z37:AB37)</f>
        <v>0</v>
      </c>
      <c r="AD37" s="74"/>
      <c r="AE37" s="70">
        <f t="shared" si="162"/>
        <v>0</v>
      </c>
      <c r="AF37" s="70">
        <f t="shared" si="163"/>
        <v>0</v>
      </c>
      <c r="AG37" s="70">
        <f t="shared" si="164"/>
        <v>0</v>
      </c>
      <c r="AH37" s="282">
        <f>SUM(AE37:AG37)</f>
        <v>0</v>
      </c>
      <c r="AI37" s="74"/>
      <c r="AJ37" s="70">
        <f t="shared" si="165"/>
        <v>1799.3912384890557</v>
      </c>
      <c r="AK37" s="70">
        <f t="shared" si="166"/>
        <v>1799.3912384890557</v>
      </c>
      <c r="AL37" s="70">
        <f t="shared" si="167"/>
        <v>1799.3912384890557</v>
      </c>
      <c r="AM37" s="282">
        <f>SUM(AJ37:AL37)</f>
        <v>5398.1737154671673</v>
      </c>
      <c r="AN37" s="74"/>
      <c r="AO37" s="70">
        <f t="shared" si="168"/>
        <v>4821.4547451981871</v>
      </c>
      <c r="AP37" s="70">
        <f t="shared" si="169"/>
        <v>4821.4547451981871</v>
      </c>
      <c r="AQ37" s="70">
        <f t="shared" si="170"/>
        <v>4821.4547451981871</v>
      </c>
      <c r="AR37" s="282">
        <f>SUM(AO37:AQ37)</f>
        <v>14464.364235594561</v>
      </c>
      <c r="AS37" s="74"/>
      <c r="AT37" s="70">
        <f t="shared" si="171"/>
        <v>8894.9331612102651</v>
      </c>
      <c r="AU37" s="70">
        <f t="shared" si="172"/>
        <v>8894.9331612102651</v>
      </c>
      <c r="AV37" s="70">
        <f t="shared" si="173"/>
        <v>8894.9331612102651</v>
      </c>
      <c r="AW37" s="282">
        <f>SUM(AT37:AV37)</f>
        <v>26684.799483630795</v>
      </c>
      <c r="AX37" s="74"/>
      <c r="AY37" s="70">
        <f t="shared" si="174"/>
        <v>14349.929503562262</v>
      </c>
      <c r="AZ37" s="70">
        <f>L37</f>
        <v>14349.929503562262</v>
      </c>
      <c r="BA37" s="70">
        <f t="shared" si="176"/>
        <v>14349.929503562262</v>
      </c>
      <c r="BB37" s="282">
        <f>SUM(AY37:BA37)</f>
        <v>43049.788510686783</v>
      </c>
      <c r="BC37" s="74"/>
      <c r="BD37" s="70">
        <f t="shared" si="177"/>
        <v>21869.990686975969</v>
      </c>
      <c r="BE37" s="70">
        <f t="shared" si="178"/>
        <v>21869.990686975969</v>
      </c>
      <c r="BF37" s="70">
        <f t="shared" si="179"/>
        <v>21869.990686975969</v>
      </c>
      <c r="BG37" s="282">
        <f>SUM(BD37:BF37)</f>
        <v>65609.972060927903</v>
      </c>
      <c r="BH37" s="74"/>
      <c r="BI37" s="70">
        <f t="shared" si="180"/>
        <v>34008.81337428229</v>
      </c>
      <c r="BJ37" s="70">
        <f t="shared" si="181"/>
        <v>34008.81337428229</v>
      </c>
      <c r="BK37" s="70">
        <f t="shared" si="182"/>
        <v>34008.81337428229</v>
      </c>
      <c r="BL37" s="282">
        <f>SUM(BI37:BK37)</f>
        <v>102026.44012284686</v>
      </c>
      <c r="BM37" s="74"/>
      <c r="BN37" s="70">
        <f t="shared" si="183"/>
        <v>54545.320339501195</v>
      </c>
      <c r="BO37" s="70">
        <f t="shared" si="184"/>
        <v>54545.320339501195</v>
      </c>
      <c r="BP37" s="70">
        <f t="shared" si="185"/>
        <v>54545.320339501195</v>
      </c>
      <c r="BQ37" s="282">
        <f>SUM(BN37:BP37)</f>
        <v>163635.96101850359</v>
      </c>
      <c r="BR37" s="74"/>
      <c r="BS37" s="70">
        <f t="shared" si="186"/>
        <v>89752.324260774432</v>
      </c>
      <c r="BT37" s="70">
        <f t="shared" si="187"/>
        <v>89752.324260774432</v>
      </c>
      <c r="BU37" s="70">
        <f t="shared" si="188"/>
        <v>89752.324260774432</v>
      </c>
      <c r="BV37" s="282">
        <f>SUM(BS37:BU37)</f>
        <v>269256.97278232331</v>
      </c>
      <c r="BW37" s="74"/>
      <c r="BX37" s="70">
        <f t="shared" si="189"/>
        <v>151650.82497500622</v>
      </c>
      <c r="BY37" s="70">
        <f t="shared" si="190"/>
        <v>151650.82497500622</v>
      </c>
      <c r="BZ37" s="70">
        <f t="shared" si="191"/>
        <v>151650.82497500622</v>
      </c>
      <c r="CA37" s="282">
        <f>SUM(BX37:BZ37)</f>
        <v>454952.47492501867</v>
      </c>
      <c r="CB37" s="74"/>
      <c r="CC37" s="70">
        <f t="shared" si="192"/>
        <v>263125.17366607237</v>
      </c>
      <c r="CD37" s="70">
        <f t="shared" si="193"/>
        <v>263125.17366607237</v>
      </c>
      <c r="CE37" s="70">
        <f t="shared" si="194"/>
        <v>263125.17366607237</v>
      </c>
      <c r="CF37" s="282">
        <f>SUM(CC37:CE37)</f>
        <v>789375.52099821717</v>
      </c>
      <c r="CG37" s="88"/>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1" t="s">
        <v>206</v>
      </c>
      <c r="B38" s="281">
        <v>2000</v>
      </c>
      <c r="C38" s="305">
        <v>5000</v>
      </c>
      <c r="D38" s="116"/>
      <c r="E38" s="119"/>
      <c r="F38" s="104">
        <f>SUM((IF(ISBLANK(D38),B38,D38)))</f>
        <v>2000</v>
      </c>
      <c r="G38" s="70">
        <f>SUM((IF(ISBLANK(D38),B38,D38)))</f>
        <v>2000</v>
      </c>
      <c r="H38" s="70">
        <f>SUM((IF(ISBLANK(D38),B38,D38)))</f>
        <v>2000</v>
      </c>
      <c r="I38" s="70">
        <f>SUM((IF(ISBLANK(D38),B38,D38)))</f>
        <v>2000</v>
      </c>
      <c r="J38" s="282">
        <f t="shared" si="156"/>
        <v>24000</v>
      </c>
      <c r="K38" s="70">
        <f>SUM((IF(ISBLANK(D38),B38,D38))+(IF(ISBLANK(E38),C38,E38)))</f>
        <v>7000</v>
      </c>
      <c r="L38" s="70">
        <f>SUM((IF(ISBLANK(D38),B38,D38))+(IF(ISBLANK(E38),C38,E38)))</f>
        <v>7000</v>
      </c>
      <c r="M38" s="70">
        <f>SUM((IF(ISBLANK(D38),B38,D38))+(IF(ISBLANK(E38),C38,E38)))</f>
        <v>7000</v>
      </c>
      <c r="N38" s="70">
        <f>SUM((IF(ISBLANK(D38),B38,D38))+(IF(ISBLANK(E38),C38,E38)))</f>
        <v>7000</v>
      </c>
      <c r="O38" s="282">
        <f t="shared" si="157"/>
        <v>84000</v>
      </c>
      <c r="P38" s="70">
        <f>SUM((IF(ISBLANK(D38),B38,D38))+(IF(ISBLANK(E38),C38,E38)))</f>
        <v>7000</v>
      </c>
      <c r="Q38" s="70">
        <f>SUM((IF(ISBLANK(D38),B38,D38))+(IF(ISBLANK(E38),C38,E38)))</f>
        <v>7000</v>
      </c>
      <c r="R38" s="70">
        <f>SUM((IF(ISBLANK(D38),B38,D38))+(IF(ISBLANK(E38),C38,E38)))</f>
        <v>7000</v>
      </c>
      <c r="S38" s="70">
        <f>SUM((IF(ISBLANK(D38),B38,D38))+(IF(ISBLANK(E38),C38,E38)))</f>
        <v>7000</v>
      </c>
      <c r="T38" s="305">
        <f t="shared" si="158"/>
        <v>84000</v>
      </c>
      <c r="U38" s="281">
        <f>SUM(S38*12)</f>
        <v>84000</v>
      </c>
      <c r="V38" s="282">
        <f>SUM(S38*12)</f>
        <v>84000</v>
      </c>
      <c r="W38" s="283">
        <f>SUM(S38*12)</f>
        <v>84000</v>
      </c>
      <c r="X38" s="177"/>
      <c r="Y38" s="505">
        <v>45000</v>
      </c>
      <c r="Z38" s="70">
        <f t="shared" si="159"/>
        <v>2000</v>
      </c>
      <c r="AA38" s="70">
        <f t="shared" si="160"/>
        <v>2000</v>
      </c>
      <c r="AB38" s="70">
        <f t="shared" si="161"/>
        <v>2000</v>
      </c>
      <c r="AC38" s="282">
        <f t="shared" si="144"/>
        <v>6000</v>
      </c>
      <c r="AD38" s="74"/>
      <c r="AE38" s="70">
        <f t="shared" si="162"/>
        <v>2000</v>
      </c>
      <c r="AF38" s="70">
        <f t="shared" si="163"/>
        <v>2000</v>
      </c>
      <c r="AG38" s="70">
        <f t="shared" si="164"/>
        <v>2000</v>
      </c>
      <c r="AH38" s="282">
        <f t="shared" si="145"/>
        <v>6000</v>
      </c>
      <c r="AI38" s="74"/>
      <c r="AJ38" s="70">
        <f t="shared" si="165"/>
        <v>2000</v>
      </c>
      <c r="AK38" s="70">
        <f t="shared" si="166"/>
        <v>2000</v>
      </c>
      <c r="AL38" s="70">
        <f t="shared" si="167"/>
        <v>2000</v>
      </c>
      <c r="AM38" s="282">
        <f t="shared" si="146"/>
        <v>6000</v>
      </c>
      <c r="AN38" s="74"/>
      <c r="AO38" s="70">
        <f t="shared" si="168"/>
        <v>2000</v>
      </c>
      <c r="AP38" s="70">
        <f t="shared" si="169"/>
        <v>2000</v>
      </c>
      <c r="AQ38" s="70">
        <f t="shared" si="170"/>
        <v>2000</v>
      </c>
      <c r="AR38" s="282">
        <f t="shared" si="147"/>
        <v>6000</v>
      </c>
      <c r="AS38" s="74"/>
      <c r="AT38" s="70">
        <f t="shared" si="171"/>
        <v>7000</v>
      </c>
      <c r="AU38" s="70">
        <f t="shared" si="172"/>
        <v>7000</v>
      </c>
      <c r="AV38" s="70">
        <f t="shared" si="173"/>
        <v>7000</v>
      </c>
      <c r="AW38" s="282">
        <f t="shared" si="148"/>
        <v>21000</v>
      </c>
      <c r="AX38" s="74"/>
      <c r="AY38" s="70">
        <f t="shared" si="174"/>
        <v>7000</v>
      </c>
      <c r="AZ38" s="70">
        <f t="shared" si="175"/>
        <v>7000</v>
      </c>
      <c r="BA38" s="70">
        <f t="shared" si="176"/>
        <v>7000</v>
      </c>
      <c r="BB38" s="282">
        <f t="shared" si="149"/>
        <v>21000</v>
      </c>
      <c r="BC38" s="74"/>
      <c r="BD38" s="70">
        <f t="shared" si="177"/>
        <v>7000</v>
      </c>
      <c r="BE38" s="70">
        <f t="shared" si="178"/>
        <v>7000</v>
      </c>
      <c r="BF38" s="70">
        <f t="shared" si="179"/>
        <v>7000</v>
      </c>
      <c r="BG38" s="282">
        <f t="shared" si="150"/>
        <v>21000</v>
      </c>
      <c r="BH38" s="74"/>
      <c r="BI38" s="70">
        <f t="shared" si="180"/>
        <v>7000</v>
      </c>
      <c r="BJ38" s="70">
        <f t="shared" si="181"/>
        <v>7000</v>
      </c>
      <c r="BK38" s="70">
        <f t="shared" si="182"/>
        <v>7000</v>
      </c>
      <c r="BL38" s="282">
        <f t="shared" si="151"/>
        <v>21000</v>
      </c>
      <c r="BM38" s="74"/>
      <c r="BN38" s="70">
        <f t="shared" si="183"/>
        <v>7000</v>
      </c>
      <c r="BO38" s="70">
        <f t="shared" si="184"/>
        <v>7000</v>
      </c>
      <c r="BP38" s="70">
        <f t="shared" si="185"/>
        <v>7000</v>
      </c>
      <c r="BQ38" s="282">
        <f t="shared" si="152"/>
        <v>21000</v>
      </c>
      <c r="BR38" s="74"/>
      <c r="BS38" s="70">
        <f t="shared" si="186"/>
        <v>7000</v>
      </c>
      <c r="BT38" s="70">
        <f t="shared" si="187"/>
        <v>7000</v>
      </c>
      <c r="BU38" s="70">
        <f t="shared" si="188"/>
        <v>7000</v>
      </c>
      <c r="BV38" s="282">
        <f t="shared" si="153"/>
        <v>21000</v>
      </c>
      <c r="BW38" s="74"/>
      <c r="BX38" s="70">
        <f t="shared" si="189"/>
        <v>7000</v>
      </c>
      <c r="BY38" s="70">
        <f t="shared" si="190"/>
        <v>7000</v>
      </c>
      <c r="BZ38" s="70">
        <f t="shared" si="191"/>
        <v>7000</v>
      </c>
      <c r="CA38" s="282">
        <f t="shared" si="154"/>
        <v>21000</v>
      </c>
      <c r="CB38" s="74"/>
      <c r="CC38" s="70">
        <f t="shared" si="192"/>
        <v>7000</v>
      </c>
      <c r="CD38" s="70">
        <f t="shared" si="193"/>
        <v>7000</v>
      </c>
      <c r="CE38" s="70">
        <f t="shared" si="194"/>
        <v>7000</v>
      </c>
      <c r="CF38" s="282">
        <f t="shared" si="155"/>
        <v>21000</v>
      </c>
      <c r="CG38" s="88"/>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1" t="s">
        <v>271</v>
      </c>
      <c r="B39" s="260">
        <v>0.2</v>
      </c>
      <c r="C39" s="293">
        <v>0</v>
      </c>
      <c r="D39" s="118"/>
      <c r="E39" s="117"/>
      <c r="F39" s="130">
        <v>0</v>
      </c>
      <c r="G39" s="70">
        <f>IF(IF(F30&gt;0,F30*((0*(IF(ISBLANK(E39),C39,E39)))+(IF(ISBLANK(D39),B39,D39))),0)&lt;0,0,IF(F30&gt;0,F30*((0*(IF(ISBLANK(E39),C39,E39)))+(IF(ISBLANK(D39),B39,D39))),0))/3</f>
        <v>0</v>
      </c>
      <c r="H39" s="70">
        <f>IF(IF(G30&gt;0,G30*((0*(IF(ISBLANK(E39),C39,E39)))+(IF(ISBLANK(D39),B39,D39))),0)&lt;0,0,IF(G30&gt;0,G30*((0*(IF(ISBLANK(E39),C39,E39)))+(IF(ISBLANK(D39),B39,D39))),0))/3</f>
        <v>0</v>
      </c>
      <c r="I39" s="70">
        <f>IF(IF(H30&gt;0,H30*((1*(IF(ISBLANK(E39),C39,E39)))+(IF(ISBLANK(D39),B39,D39))),0)&lt;0,0,IF(H30&gt;0,H30*((1*(IF(ISBLANK(E39),C39,E39)))+(IF(ISBLANK(D39),B39,D39))),0))/3</f>
        <v>1199.594158992704</v>
      </c>
      <c r="J39" s="282">
        <f t="shared" si="156"/>
        <v>3598.7824769781118</v>
      </c>
      <c r="K39" s="70">
        <f>IF(IF(I30&gt;0,I30*((2*(IF(ISBLANK(E39),C39,E39)))+(IF(ISBLANK(D39),B39,D39))),0)&lt;0,0,IF(I30&gt;0,I30*((2*(IF(ISBLANK(E39),C39,E39)))+(IF(ISBLANK(D39),B39,D39))),0))/3</f>
        <v>6492.6180542261036</v>
      </c>
      <c r="L39" s="70">
        <f>IF(IF(K30&gt;0,K30*((3*(IF(ISBLANK(E39),C39,E39)))+(IF(ISBLANK(D39),B39,D39))),0)&lt;0,0,IF(K30&gt;0,K30*((3*(IF(ISBLANK(E39),C39,E39)))+(IF(ISBLANK(D39),B39,D39))),0))/3</f>
        <v>13477.171456379188</v>
      </c>
      <c r="M39" s="70">
        <f>IF(IF(L30&gt;0,L30*((4*(IF(ISBLANK(E39),C39,E39)))+(IF(ISBLANK(D39),B39,D39))),0)&lt;0,0,IF(L30&gt;0,L30*((4*(IF(ISBLANK(E39),C39,E39)))+(IF(ISBLANK(D39),B39,D39))),0))/3</f>
        <v>27585.408503579893</v>
      </c>
      <c r="N39" s="70">
        <f>IF(IF(M30&gt;0,M30*((5*(IF(ISBLANK(E39),C39,E39)))+(IF(ISBLANK(D39),B39,D39))),0)&lt;0,0,IF(M30&gt;0,M30*((5*(IF(ISBLANK(E39),C39,E39)))+(IF(ISBLANK(D39),B39,D39))),0))/3</f>
        <v>50275.840659714879</v>
      </c>
      <c r="O39" s="282">
        <f t="shared" si="157"/>
        <v>293493.1160217002</v>
      </c>
      <c r="P39" s="70">
        <f>IF(IF(N30&gt;0,N30*((6*(IF(ISBLANK(E39),C39,E39)))+(IF(ISBLANK(D39),B39,D39))),0)&lt;0,0,IF(N30&gt;0,N30*((6*(IF(ISBLANK(E39),C39,E39)))+(IF(ISBLANK(D39),B39,D39))),0))/3</f>
        <v>90690.168998086112</v>
      </c>
      <c r="Q39" s="70">
        <f>IF(IF(P30&gt;0,P30*((7*(IF(ISBLANK(E39),C39,E39)))+(IF(ISBLANK(D39),B39,D39))),0)&lt;0,0,IF(P30&gt;0,P30*((7*(IF(ISBLANK(E39),C39,E39)))+(IF(ISBLANK(D39),B39,D39))),0))/3</f>
        <v>165944.75764663066</v>
      </c>
      <c r="R39" s="70">
        <f>IF(IF(Q30&gt;0,Q30*((8*(IF(ISBLANK(E39),C39,E39)))+(IF(ISBLANK(D39),B39,D39))),0)&lt;0,0,IF(Q30&gt;0,Q30*((8*(IF(ISBLANK(E39),C39,E39)))+(IF(ISBLANK(D39),B39,D39))),0))/3</f>
        <v>308787.61349049304</v>
      </c>
      <c r="S39" s="70">
        <f>IF(IF(R30&gt;0,R30*((9*(IF(ISBLANK(E39),C39,E39)))+(IF(ISBLANK(D39),B39,D39))),0)&lt;0,0,IF(R30&gt;0,R30*((9*(IF(ISBLANK(E39),C39,E39)))+(IF(ISBLANK(D39),B39,D39))),0))/3</f>
        <v>587793.89525196201</v>
      </c>
      <c r="T39" s="305">
        <f t="shared" si="158"/>
        <v>3459649.3061615154</v>
      </c>
      <c r="U39" s="281">
        <f>SUM((U30*(IF(ISBLANK(D39),B39,D39)+(10*IF(ISBLANK(E39),C39,E39))))+(S30*(IF(ISBLANK(D39),B39,D39)+(10*IF(ISBLANK(E39),C39,E39)))))</f>
        <v>41877340.776769213</v>
      </c>
      <c r="V39" s="282">
        <f>SUM((V30*(IF(ISBLANK(D39),B39,D39)+(11*IF(ISBLANK(E39),C39,E39)))))</f>
        <v>113442239.8942211</v>
      </c>
      <c r="W39" s="283">
        <f>SUM((W30*(IF(ISBLANK(D39),B39,D39)+(12*IF(ISBLANK(E39),C39,E39)))))</f>
        <v>257058748.10849333</v>
      </c>
      <c r="X39" s="177"/>
      <c r="Y39" s="505">
        <v>0</v>
      </c>
      <c r="Z39" s="70">
        <f>F39</f>
        <v>0</v>
      </c>
      <c r="AA39" s="70">
        <f>F39</f>
        <v>0</v>
      </c>
      <c r="AB39" s="70">
        <f>F39</f>
        <v>0</v>
      </c>
      <c r="AC39" s="282">
        <f t="shared" si="144"/>
        <v>0</v>
      </c>
      <c r="AD39" s="74"/>
      <c r="AE39" s="70">
        <f>G39</f>
        <v>0</v>
      </c>
      <c r="AF39" s="70">
        <f>G39</f>
        <v>0</v>
      </c>
      <c r="AG39" s="70">
        <f>G39</f>
        <v>0</v>
      </c>
      <c r="AH39" s="282">
        <f t="shared" si="145"/>
        <v>0</v>
      </c>
      <c r="AI39" s="74"/>
      <c r="AJ39" s="70">
        <f>H39</f>
        <v>0</v>
      </c>
      <c r="AK39" s="70">
        <f>H39</f>
        <v>0</v>
      </c>
      <c r="AL39" s="70">
        <f>H39</f>
        <v>0</v>
      </c>
      <c r="AM39" s="282">
        <f t="shared" si="146"/>
        <v>0</v>
      </c>
      <c r="AN39" s="74"/>
      <c r="AO39" s="70">
        <f>I39</f>
        <v>1199.594158992704</v>
      </c>
      <c r="AP39" s="70">
        <f>I39</f>
        <v>1199.594158992704</v>
      </c>
      <c r="AQ39" s="70">
        <f>I39</f>
        <v>1199.594158992704</v>
      </c>
      <c r="AR39" s="282">
        <f t="shared" si="147"/>
        <v>3598.7824769781118</v>
      </c>
      <c r="AS39" s="74"/>
      <c r="AT39" s="70">
        <f>K39</f>
        <v>6492.6180542261036</v>
      </c>
      <c r="AU39" s="70">
        <f>K39</f>
        <v>6492.6180542261036</v>
      </c>
      <c r="AV39" s="70">
        <f>K39</f>
        <v>6492.6180542261036</v>
      </c>
      <c r="AW39" s="282">
        <f t="shared" si="148"/>
        <v>19477.854162678312</v>
      </c>
      <c r="AX39" s="74"/>
      <c r="AY39" s="70">
        <f>L39</f>
        <v>13477.171456379188</v>
      </c>
      <c r="AZ39" s="70">
        <f>L39</f>
        <v>13477.171456379188</v>
      </c>
      <c r="BA39" s="70">
        <f>L39</f>
        <v>13477.171456379188</v>
      </c>
      <c r="BB39" s="282">
        <f t="shared" si="149"/>
        <v>40431.514369137563</v>
      </c>
      <c r="BC39" s="74"/>
      <c r="BD39" s="70">
        <f>M39</f>
        <v>27585.408503579893</v>
      </c>
      <c r="BE39" s="70">
        <f>M39</f>
        <v>27585.408503579893</v>
      </c>
      <c r="BF39" s="70">
        <f>M39</f>
        <v>27585.408503579893</v>
      </c>
      <c r="BG39" s="282">
        <f t="shared" si="150"/>
        <v>82756.225510739678</v>
      </c>
      <c r="BH39" s="74"/>
      <c r="BI39" s="70">
        <f>N39</f>
        <v>50275.840659714879</v>
      </c>
      <c r="BJ39" s="70">
        <f>N39</f>
        <v>50275.840659714879</v>
      </c>
      <c r="BK39" s="70">
        <f>N39</f>
        <v>50275.840659714879</v>
      </c>
      <c r="BL39" s="282">
        <f t="shared" si="151"/>
        <v>150827.52197914463</v>
      </c>
      <c r="BM39" s="74"/>
      <c r="BN39" s="70">
        <f>P39</f>
        <v>90690.168998086112</v>
      </c>
      <c r="BO39" s="70">
        <f>P39</f>
        <v>90690.168998086112</v>
      </c>
      <c r="BP39" s="70">
        <f>P39</f>
        <v>90690.168998086112</v>
      </c>
      <c r="BQ39" s="282">
        <f t="shared" si="152"/>
        <v>272070.50699425832</v>
      </c>
      <c r="BR39" s="74"/>
      <c r="BS39" s="70">
        <f>Q39</f>
        <v>165944.75764663066</v>
      </c>
      <c r="BT39" s="70">
        <f>Q39</f>
        <v>165944.75764663066</v>
      </c>
      <c r="BU39" s="70">
        <f>Q39</f>
        <v>165944.75764663066</v>
      </c>
      <c r="BV39" s="282">
        <f t="shared" si="153"/>
        <v>497834.27293989202</v>
      </c>
      <c r="BW39" s="74"/>
      <c r="BX39" s="70">
        <f>R39</f>
        <v>308787.61349049304</v>
      </c>
      <c r="BY39" s="70">
        <f>R39</f>
        <v>308787.61349049304</v>
      </c>
      <c r="BZ39" s="70">
        <f>R39</f>
        <v>308787.61349049304</v>
      </c>
      <c r="CA39" s="282">
        <f t="shared" si="154"/>
        <v>926362.84047147911</v>
      </c>
      <c r="CB39" s="74"/>
      <c r="CC39" s="70">
        <f>S39</f>
        <v>587793.89525196201</v>
      </c>
      <c r="CD39" s="70">
        <f>S39</f>
        <v>587793.89525196201</v>
      </c>
      <c r="CE39" s="70">
        <f>S39</f>
        <v>587793.89525196201</v>
      </c>
      <c r="CF39" s="282">
        <f t="shared" si="155"/>
        <v>1763381.6857558861</v>
      </c>
      <c r="CG39" s="88"/>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1" t="s">
        <v>272</v>
      </c>
      <c r="B40" s="260">
        <v>0.25</v>
      </c>
      <c r="C40" s="293">
        <v>0</v>
      </c>
      <c r="D40" s="118"/>
      <c r="E40" s="117"/>
      <c r="F40" s="130">
        <v>0</v>
      </c>
      <c r="G40" s="70">
        <f>IF(IF(F49&gt;0,F49*((0*(IF(ISBLANK(E40),C40,E40)))+(IF(ISBLANK(D40),B40,D40))),0)&lt;0,0,IF(F49&gt;0,F49*((0*(IF(ISBLANK(E40),C40,E40)))+(IF(ISBLANK(D40),B40,D40))),0))/3</f>
        <v>0</v>
      </c>
      <c r="H40" s="70">
        <f>IF(IF(G49&gt;0,G49*((0*(IF(ISBLANK(E40),C40,E40)))+(IF(ISBLANK(D40),B40,D40))),0)&lt;0,0,IF(G49&gt;0,G49*((0*(IF(ISBLANK(E40),C40,E40)))+(IF(ISBLANK(D40),B40,D40))),0))/3</f>
        <v>0</v>
      </c>
      <c r="I40" s="70">
        <f>IF(IF(H49&gt;0,H49*((1*(IF(ISBLANK(E40),C40,E40)))+(IF(ISBLANK(D40),B40,D40))),0)&lt;0,0,IF(H49&gt;0,H49*((1*(IF(ISBLANK(E40),C40,E40)))+(IF(ISBLANK(D40),B40,D40))),0))/3</f>
        <v>0</v>
      </c>
      <c r="J40" s="282">
        <f t="shared" si="156"/>
        <v>0</v>
      </c>
      <c r="K40" s="70">
        <f>IF(IF(I49&gt;0,I49*((2*(IF(ISBLANK(E40),C40,E40)))+(IF(ISBLANK(D40),B40,D40))),0)&lt;0,0,IF(I49&gt;0,I49*((2*(IF(ISBLANK(E40),C40,E40)))+(IF(ISBLANK(D40),B40,D40))),0))/3</f>
        <v>0</v>
      </c>
      <c r="L40" s="70">
        <f>IF(IF(K49&gt;0,K49*((3*(IF(ISBLANK(E40),C40,E40)))+(IF(ISBLANK(D40),B40,D40))),0)&lt;0,0,IF(K49&gt;0,K49*((3*(IF(ISBLANK(E40),C40,E40)))+(IF(ISBLANK(D40),B40,D40))),0))/3</f>
        <v>0</v>
      </c>
      <c r="M40" s="70">
        <f>IF(IF(L49&gt;0,L49*((4*(IF(ISBLANK(E40),C40,E40)))+(IF(ISBLANK(D40),B40,D40))),0)&lt;0,0,IF(L49&gt;0,L49*((4*(IF(ISBLANK(E40),C40,E40)))+(IF(ISBLANK(D40),B40,D40))),0))/3</f>
        <v>2728.5198960703224</v>
      </c>
      <c r="N40" s="70">
        <f>IF(IF(M49&gt;0,M49*((5*(IF(ISBLANK(E40),C40,E40)))+(IF(ISBLANK(D40),B40,D40))),0)&lt;0,0,IF(M49&gt;0,M49*((5*(IF(ISBLANK(E40),C40,E40)))+(IF(ISBLANK(D40),B40,D40))),0))/3</f>
        <v>12181.665978216624</v>
      </c>
      <c r="O40" s="282">
        <f t="shared" si="157"/>
        <v>44730.557622860841</v>
      </c>
      <c r="P40" s="70">
        <f>IF(IF(N49&gt;0,N49*((6*(IF(ISBLANK(E40),C40,E40)))+(IF(ISBLANK(D40),B40,D40))),0)&lt;0,0,IF(N49&gt;0,N49*((6*(IF(ISBLANK(E40),C40,E40)))+(IF(ISBLANK(D40),B40,D40))),0))/3</f>
        <v>31008.208910784208</v>
      </c>
      <c r="Q40" s="70">
        <f>IF(IF(P49&gt;0,P49*((7*(IF(ISBLANK(E40),C40,E40)))+(IF(ISBLANK(D40),B40,D40))),0)&lt;0,0,IF(P49&gt;0,P49*((7*(IF(ISBLANK(E40),C40,E40)))+(IF(ISBLANK(D40),B40,D40))),0))/3</f>
        <v>70395.016164665329</v>
      </c>
      <c r="R40" s="70">
        <f>IF(IF(Q49&gt;0,Q49*((8*(IF(ISBLANK(E40),C40,E40)))+(IF(ISBLANK(D40),B40,D40))),0)&lt;0,0,IF(Q49&gt;0,Q49*((8*(IF(ISBLANK(E40),C40,E40)))+(IF(ISBLANK(D40),B40,D40))),0))/3</f>
        <v>151492.1996483301</v>
      </c>
      <c r="S40" s="70">
        <f>IF(IF(R49&gt;0,R49*((9*(IF(ISBLANK(E40),C40,E40)))+(IF(ISBLANK(D40),B40,D40))),0)&lt;0,0,IF(R49&gt;0,R49*((9*(IF(ISBLANK(E40),C40,E40)))+(IF(ISBLANK(D40),B40,D40))),0))/3</f>
        <v>323460.47101882851</v>
      </c>
      <c r="T40" s="305">
        <f t="shared" si="158"/>
        <v>1729067.6872278245</v>
      </c>
      <c r="U40" s="281">
        <f>SUM(IF(S49&lt;0,0,S49*((10*(IF(ISBLANK(E40),C40,E40)))+(IF(ISBLANK(D40),B40,D40)))))</f>
        <v>2068540.6167193558</v>
      </c>
      <c r="V40" s="282">
        <f>SUM(IF(U49&lt;0,0,U49*((11*(IF(ISBLANK(E40),C40,E40)))+(IF(ISBLANK(D40),B40,D40)))))</f>
        <v>19374622.788860474</v>
      </c>
      <c r="W40" s="283">
        <f>SUM(IF(V49&lt;0,0,V49*((12*(IF(ISBLANK(E40),C40,E40)))+(IF(ISBLANK(D40),B40,D40)))))</f>
        <v>77594563.517396927</v>
      </c>
      <c r="X40" s="177"/>
      <c r="Y40" s="505">
        <v>0</v>
      </c>
      <c r="Z40" s="70">
        <f>F40</f>
        <v>0</v>
      </c>
      <c r="AA40" s="70">
        <f>F40</f>
        <v>0</v>
      </c>
      <c r="AB40" s="70">
        <f>F40</f>
        <v>0</v>
      </c>
      <c r="AC40" s="282">
        <f t="shared" si="144"/>
        <v>0</v>
      </c>
      <c r="AD40" s="74"/>
      <c r="AE40" s="70">
        <f>G40</f>
        <v>0</v>
      </c>
      <c r="AF40" s="70">
        <f>G40</f>
        <v>0</v>
      </c>
      <c r="AG40" s="70">
        <f>G40</f>
        <v>0</v>
      </c>
      <c r="AH40" s="282">
        <f t="shared" si="145"/>
        <v>0</v>
      </c>
      <c r="AI40" s="74"/>
      <c r="AJ40" s="70">
        <f>H40</f>
        <v>0</v>
      </c>
      <c r="AK40" s="70">
        <f>H40</f>
        <v>0</v>
      </c>
      <c r="AL40" s="70">
        <f>H40</f>
        <v>0</v>
      </c>
      <c r="AM40" s="282">
        <f t="shared" si="146"/>
        <v>0</v>
      </c>
      <c r="AN40" s="74"/>
      <c r="AO40" s="70">
        <f>I40</f>
        <v>0</v>
      </c>
      <c r="AP40" s="70">
        <f>I40</f>
        <v>0</v>
      </c>
      <c r="AQ40" s="70">
        <f>I40</f>
        <v>0</v>
      </c>
      <c r="AR40" s="282">
        <f t="shared" si="147"/>
        <v>0</v>
      </c>
      <c r="AS40" s="74"/>
      <c r="AT40" s="70">
        <f>K40</f>
        <v>0</v>
      </c>
      <c r="AU40" s="70">
        <f>K40</f>
        <v>0</v>
      </c>
      <c r="AV40" s="70">
        <f>K40</f>
        <v>0</v>
      </c>
      <c r="AW40" s="282">
        <f t="shared" si="148"/>
        <v>0</v>
      </c>
      <c r="AX40" s="74"/>
      <c r="AY40" s="70">
        <f>L40</f>
        <v>0</v>
      </c>
      <c r="AZ40" s="70">
        <f>L40</f>
        <v>0</v>
      </c>
      <c r="BA40" s="70">
        <f>L40</f>
        <v>0</v>
      </c>
      <c r="BB40" s="282">
        <f t="shared" si="149"/>
        <v>0</v>
      </c>
      <c r="BC40" s="74"/>
      <c r="BD40" s="70">
        <f>M40</f>
        <v>2728.5198960703224</v>
      </c>
      <c r="BE40" s="70">
        <f>M40</f>
        <v>2728.5198960703224</v>
      </c>
      <c r="BF40" s="70">
        <f>M40</f>
        <v>2728.5198960703224</v>
      </c>
      <c r="BG40" s="282">
        <f t="shared" si="150"/>
        <v>8185.5596882109676</v>
      </c>
      <c r="BH40" s="74"/>
      <c r="BI40" s="70">
        <f>N40</f>
        <v>12181.665978216624</v>
      </c>
      <c r="BJ40" s="70">
        <f>N40</f>
        <v>12181.665978216624</v>
      </c>
      <c r="BK40" s="70">
        <f>N40</f>
        <v>12181.665978216624</v>
      </c>
      <c r="BL40" s="282">
        <f t="shared" si="151"/>
        <v>36544.997934649873</v>
      </c>
      <c r="BM40" s="74"/>
      <c r="BN40" s="70">
        <f>P40</f>
        <v>31008.208910784208</v>
      </c>
      <c r="BO40" s="70">
        <f>P40</f>
        <v>31008.208910784208</v>
      </c>
      <c r="BP40" s="70">
        <f>P40</f>
        <v>31008.208910784208</v>
      </c>
      <c r="BQ40" s="282">
        <f t="shared" si="152"/>
        <v>93024.626732352626</v>
      </c>
      <c r="BR40" s="74"/>
      <c r="BS40" s="70">
        <f>Q40</f>
        <v>70395.016164665329</v>
      </c>
      <c r="BT40" s="70">
        <f>Q40</f>
        <v>70395.016164665329</v>
      </c>
      <c r="BU40" s="70">
        <f>Q40</f>
        <v>70395.016164665329</v>
      </c>
      <c r="BV40" s="282">
        <f t="shared" si="153"/>
        <v>211185.04849399597</v>
      </c>
      <c r="BW40" s="74"/>
      <c r="BX40" s="70">
        <f>R40</f>
        <v>151492.1996483301</v>
      </c>
      <c r="BY40" s="70">
        <f>R40</f>
        <v>151492.1996483301</v>
      </c>
      <c r="BZ40" s="70">
        <f>R40</f>
        <v>151492.1996483301</v>
      </c>
      <c r="CA40" s="282">
        <f t="shared" si="154"/>
        <v>454476.59894499031</v>
      </c>
      <c r="CB40" s="74"/>
      <c r="CC40" s="70">
        <f>S40</f>
        <v>323460.47101882851</v>
      </c>
      <c r="CD40" s="70">
        <f>S40</f>
        <v>323460.47101882851</v>
      </c>
      <c r="CE40" s="70">
        <f>S40</f>
        <v>323460.47101882851</v>
      </c>
      <c r="CF40" s="282">
        <f t="shared" si="155"/>
        <v>970381.41305648559</v>
      </c>
      <c r="CG40" s="88"/>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1" t="s">
        <v>273</v>
      </c>
      <c r="B41" s="281">
        <v>2500</v>
      </c>
      <c r="C41" s="305">
        <v>750</v>
      </c>
      <c r="D41" s="116"/>
      <c r="E41" s="119"/>
      <c r="F41" s="104">
        <f>IF(ISBLANK(D41),B41,D41)</f>
        <v>2500</v>
      </c>
      <c r="G41" s="70">
        <f>SUM((IF(F49&gt;0,IF(ISBLANK(E41),C41,E41),0)+F41))</f>
        <v>2500</v>
      </c>
      <c r="H41" s="70">
        <f>SUM((IF(G49&gt;0,IF(ISBLANK(E41),C41,E41),0)+G41))</f>
        <v>2500</v>
      </c>
      <c r="I41" s="70">
        <f>SUM((IF(H49&gt;0,IF(ISBLANK(E41),C41,E41),0)+H41))</f>
        <v>2500</v>
      </c>
      <c r="J41" s="282">
        <f t="shared" si="156"/>
        <v>30000</v>
      </c>
      <c r="K41" s="70">
        <f>SUM((IF(I49&gt;0,IF(ISBLANK(E41),C41,E41),0)+I41))</f>
        <v>2500</v>
      </c>
      <c r="L41" s="70">
        <f>SUM((IF(K49&gt;0,IF(ISBLANK(E41),C41,E41),0)+K41))</f>
        <v>2500</v>
      </c>
      <c r="M41" s="70">
        <f>SUM((IF(L49&gt;0,IF(ISBLANK(E41),C41,E41),0)+L41))</f>
        <v>3250</v>
      </c>
      <c r="N41" s="70">
        <f>SUM((IF(M49&gt;0,IF(ISBLANK(E41),C41,E41),0)+M41))</f>
        <v>4000</v>
      </c>
      <c r="O41" s="282">
        <f t="shared" si="157"/>
        <v>36750</v>
      </c>
      <c r="P41" s="70">
        <f>SUM((IF(N49&gt;0,IF(ISBLANK(E41),C41,E41),0)+N41))</f>
        <v>4750</v>
      </c>
      <c r="Q41" s="70">
        <f>SUM((IF(P49&gt;0,IF(ISBLANK(E41),C41,E41),0)+P41))</f>
        <v>5500</v>
      </c>
      <c r="R41" s="70">
        <f>SUM((IF(Q49&gt;0,IF(ISBLANK(E41),C41,E41),0)+Q41))</f>
        <v>6250</v>
      </c>
      <c r="S41" s="70">
        <f>SUM((IF(R49&gt;0,IF(ISBLANK(E41),C41,E41),0)+R41))</f>
        <v>7000</v>
      </c>
      <c r="T41" s="305">
        <f t="shared" si="158"/>
        <v>70500</v>
      </c>
      <c r="U41" s="281">
        <f>SUM((IF(S49&gt;0,IF(ISBLANK(E41),C41,E41),0)+S41))</f>
        <v>7750</v>
      </c>
      <c r="V41" s="282">
        <f>SUM((IF(U49&gt;0,IF(ISBLANK(E41),C41,E41),0)+U41))</f>
        <v>8500</v>
      </c>
      <c r="W41" s="283">
        <f>SUM((IF(V49&gt;0,IF(ISBLANK(E41),C41,E41),0)+V41))</f>
        <v>9250</v>
      </c>
      <c r="X41" s="177"/>
      <c r="Y41" s="505">
        <v>55000</v>
      </c>
      <c r="Z41" s="70">
        <f t="shared" si="159"/>
        <v>2500</v>
      </c>
      <c r="AA41" s="70">
        <f t="shared" si="160"/>
        <v>2500</v>
      </c>
      <c r="AB41" s="70">
        <f t="shared" si="161"/>
        <v>2500</v>
      </c>
      <c r="AC41" s="282">
        <f t="shared" si="144"/>
        <v>7500</v>
      </c>
      <c r="AD41" s="74"/>
      <c r="AE41" s="70">
        <f t="shared" si="162"/>
        <v>2500</v>
      </c>
      <c r="AF41" s="70">
        <f>G41</f>
        <v>2500</v>
      </c>
      <c r="AG41" s="70">
        <f>G41</f>
        <v>2500</v>
      </c>
      <c r="AH41" s="282">
        <f t="shared" si="145"/>
        <v>7500</v>
      </c>
      <c r="AI41" s="74"/>
      <c r="AJ41" s="70">
        <f>H41</f>
        <v>2500</v>
      </c>
      <c r="AK41" s="70">
        <f>H41</f>
        <v>2500</v>
      </c>
      <c r="AL41" s="70">
        <f>H41</f>
        <v>2500</v>
      </c>
      <c r="AM41" s="282">
        <f t="shared" si="146"/>
        <v>7500</v>
      </c>
      <c r="AN41" s="74"/>
      <c r="AO41" s="70">
        <f t="shared" si="168"/>
        <v>2500</v>
      </c>
      <c r="AP41" s="70">
        <f t="shared" si="169"/>
        <v>2500</v>
      </c>
      <c r="AQ41" s="70">
        <f t="shared" si="170"/>
        <v>2500</v>
      </c>
      <c r="AR41" s="282">
        <f t="shared" si="147"/>
        <v>7500</v>
      </c>
      <c r="AS41" s="74"/>
      <c r="AT41" s="70">
        <f t="shared" si="171"/>
        <v>2500</v>
      </c>
      <c r="AU41" s="70">
        <f t="shared" si="172"/>
        <v>2500</v>
      </c>
      <c r="AV41" s="70">
        <f t="shared" si="173"/>
        <v>2500</v>
      </c>
      <c r="AW41" s="282">
        <f t="shared" si="148"/>
        <v>7500</v>
      </c>
      <c r="AX41" s="74"/>
      <c r="AY41" s="70">
        <f t="shared" si="174"/>
        <v>2500</v>
      </c>
      <c r="AZ41" s="70">
        <f t="shared" si="175"/>
        <v>2500</v>
      </c>
      <c r="BA41" s="70">
        <f t="shared" si="176"/>
        <v>2500</v>
      </c>
      <c r="BB41" s="282">
        <f t="shared" si="149"/>
        <v>7500</v>
      </c>
      <c r="BC41" s="74"/>
      <c r="BD41" s="70">
        <f t="shared" si="177"/>
        <v>3250</v>
      </c>
      <c r="BE41" s="70">
        <f t="shared" si="178"/>
        <v>3250</v>
      </c>
      <c r="BF41" s="70">
        <f t="shared" si="179"/>
        <v>3250</v>
      </c>
      <c r="BG41" s="282">
        <f t="shared" si="150"/>
        <v>9750</v>
      </c>
      <c r="BH41" s="74"/>
      <c r="BI41" s="70">
        <f>N41</f>
        <v>4000</v>
      </c>
      <c r="BJ41" s="70">
        <f t="shared" si="181"/>
        <v>4000</v>
      </c>
      <c r="BK41" s="70">
        <f t="shared" si="182"/>
        <v>4000</v>
      </c>
      <c r="BL41" s="282">
        <f t="shared" si="151"/>
        <v>12000</v>
      </c>
      <c r="BM41" s="74"/>
      <c r="BN41" s="70">
        <f t="shared" si="183"/>
        <v>4750</v>
      </c>
      <c r="BO41" s="70">
        <f t="shared" si="184"/>
        <v>4750</v>
      </c>
      <c r="BP41" s="70">
        <f t="shared" si="185"/>
        <v>4750</v>
      </c>
      <c r="BQ41" s="282">
        <f t="shared" si="152"/>
        <v>14250</v>
      </c>
      <c r="BR41" s="74"/>
      <c r="BS41" s="70">
        <f t="shared" si="186"/>
        <v>5500</v>
      </c>
      <c r="BT41" s="70">
        <f t="shared" si="187"/>
        <v>5500</v>
      </c>
      <c r="BU41" s="70">
        <f t="shared" si="188"/>
        <v>5500</v>
      </c>
      <c r="BV41" s="282">
        <f t="shared" si="153"/>
        <v>16500</v>
      </c>
      <c r="BW41" s="74"/>
      <c r="BX41" s="70">
        <f t="shared" si="189"/>
        <v>6250</v>
      </c>
      <c r="BY41" s="70">
        <f t="shared" si="190"/>
        <v>6250</v>
      </c>
      <c r="BZ41" s="70">
        <f t="shared" si="191"/>
        <v>6250</v>
      </c>
      <c r="CA41" s="282">
        <f t="shared" si="154"/>
        <v>18750</v>
      </c>
      <c r="CB41" s="74"/>
      <c r="CC41" s="70">
        <f t="shared" si="192"/>
        <v>7000</v>
      </c>
      <c r="CD41" s="70">
        <f t="shared" si="193"/>
        <v>7000</v>
      </c>
      <c r="CE41" s="70">
        <f t="shared" si="194"/>
        <v>7000</v>
      </c>
      <c r="CF41" s="282">
        <f t="shared" si="155"/>
        <v>21000</v>
      </c>
      <c r="CG41" s="88"/>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1" t="s">
        <v>274</v>
      </c>
      <c r="B42" s="281">
        <v>2000</v>
      </c>
      <c r="C42" s="304">
        <v>0.01</v>
      </c>
      <c r="D42" s="116"/>
      <c r="E42" s="120"/>
      <c r="F42" s="104">
        <f>SUM((IF(ISBLANK(D42),B42,D42))+(IF(ISBLANK(E42),C42,E42)*F18))</f>
        <v>2021.4521407384641</v>
      </c>
      <c r="G42" s="70">
        <f>SUM((IF(ISBLANK(D42),B42,D42))+(IF(ISBLANK(E42),C42,E42)*G18))</f>
        <v>2051.1901415290749</v>
      </c>
      <c r="H42" s="70">
        <f>SUM((IF(ISBLANK(D42),B42,D42))+(IF(ISBLANK(E42),C42,E42)*H18))</f>
        <v>2279.4273401953578</v>
      </c>
      <c r="I42" s="70">
        <f>SUM((IF(ISBLANK(D42),B42,D42))+(IF(ISBLANK(E42),C42,E42)*I18))</f>
        <v>2550.0723153422036</v>
      </c>
      <c r="J42" s="282">
        <f t="shared" si="156"/>
        <v>26706.425813415299</v>
      </c>
      <c r="K42" s="70">
        <f>SUM((IF(ISBLANK(D42),B42,D42))+(IF(ISBLANK(E42),C42,E42)*K18))</f>
        <v>2850.2352850812026</v>
      </c>
      <c r="L42" s="70">
        <f>SUM((IF(ISBLANK(D42),B42,D42))+(IF(ISBLANK(E42),C42,E42)*L18))</f>
        <v>3230.3811087883087</v>
      </c>
      <c r="M42" s="70">
        <f>SUM((IF(ISBLANK(D42),B42,D42))+(IF(ISBLANK(E42),C42,E42)*M18))</f>
        <v>3742.5013247158631</v>
      </c>
      <c r="N42" s="70">
        <f>SUM((IF(ISBLANK(D42),B42,D42))+(IF(ISBLANK(E42),C42,E42)*N18))</f>
        <v>4621.172381249673</v>
      </c>
      <c r="O42" s="282">
        <f t="shared" si="157"/>
        <v>43332.870299505143</v>
      </c>
      <c r="P42" s="70">
        <f>SUM((IF(ISBLANK(D42),B42,D42))+(IF(ISBLANK(E42),C42,E42)*P18))</f>
        <v>6112.3944837531581</v>
      </c>
      <c r="Q42" s="70">
        <f>SUM((IF(ISBLANK(D42),B42,D42))+(IF(ISBLANK(E42),C42,E42)*Q18))</f>
        <v>8711.0708655750495</v>
      </c>
      <c r="R42" s="70">
        <f>SUM((IF(ISBLANK(D42),B42,D42))+(IF(ISBLANK(E42),C42,E42)*R18))</f>
        <v>13403.314311950742</v>
      </c>
      <c r="S42" s="70">
        <f>SUM((IF(ISBLANK(D42),B42,D42))+(IF(ISBLANK(E42),C42,E42)*S18))</f>
        <v>22163.530394777932</v>
      </c>
      <c r="T42" s="305">
        <f t="shared" si="158"/>
        <v>151170.93016817066</v>
      </c>
      <c r="U42" s="281">
        <f>SUM((IF(ISBLANK(D42),B42,D42))+(IF(ISBLANK(E42),C42,E42)*U18))*12</f>
        <v>730944.68153203768</v>
      </c>
      <c r="V42" s="282">
        <f>SUM((IF(ISBLANK(D42),B42,D42))+(IF(ISBLANK(E42),C42,E42)*V18))*12</f>
        <v>1705313.0004515641</v>
      </c>
      <c r="W42" s="283">
        <f>SUM((IF(ISBLANK(D42),B42,D42))+(IF(ISBLANK(E42),C42,E42)*W18))*12</f>
        <v>3059361.2767684963</v>
      </c>
      <c r="X42" s="177"/>
      <c r="Y42" s="505">
        <f>SUM(10105+7000)</f>
        <v>17105</v>
      </c>
      <c r="Z42" s="70">
        <f t="shared" si="159"/>
        <v>2021.4521407384641</v>
      </c>
      <c r="AA42" s="70">
        <f t="shared" si="160"/>
        <v>2021.4521407384641</v>
      </c>
      <c r="AB42" s="70">
        <f t="shared" si="161"/>
        <v>2021.4521407384641</v>
      </c>
      <c r="AC42" s="282">
        <f t="shared" si="144"/>
        <v>6064.3564222153927</v>
      </c>
      <c r="AD42" s="74"/>
      <c r="AE42" s="70">
        <f t="shared" si="162"/>
        <v>2051.1901415290749</v>
      </c>
      <c r="AF42" s="70">
        <f t="shared" si="163"/>
        <v>2051.1901415290749</v>
      </c>
      <c r="AG42" s="70">
        <f t="shared" si="164"/>
        <v>2051.1901415290749</v>
      </c>
      <c r="AH42" s="282">
        <f t="shared" si="145"/>
        <v>6153.5704245872248</v>
      </c>
      <c r="AI42" s="74"/>
      <c r="AJ42" s="70">
        <f t="shared" si="165"/>
        <v>2279.4273401953578</v>
      </c>
      <c r="AK42" s="70">
        <f t="shared" si="166"/>
        <v>2279.4273401953578</v>
      </c>
      <c r="AL42" s="70">
        <f t="shared" si="167"/>
        <v>2279.4273401953578</v>
      </c>
      <c r="AM42" s="282">
        <f t="shared" si="146"/>
        <v>6838.2820205860735</v>
      </c>
      <c r="AN42" s="74"/>
      <c r="AO42" s="70">
        <f t="shared" si="168"/>
        <v>2550.0723153422036</v>
      </c>
      <c r="AP42" s="70">
        <f t="shared" si="169"/>
        <v>2550.0723153422036</v>
      </c>
      <c r="AQ42" s="70">
        <f t="shared" si="170"/>
        <v>2550.0723153422036</v>
      </c>
      <c r="AR42" s="282">
        <f t="shared" si="147"/>
        <v>7650.2169460266105</v>
      </c>
      <c r="AS42" s="74"/>
      <c r="AT42" s="70">
        <f t="shared" si="171"/>
        <v>2850.2352850812026</v>
      </c>
      <c r="AU42" s="70">
        <f t="shared" si="172"/>
        <v>2850.2352850812026</v>
      </c>
      <c r="AV42" s="70">
        <f t="shared" si="173"/>
        <v>2850.2352850812026</v>
      </c>
      <c r="AW42" s="282">
        <f t="shared" si="148"/>
        <v>8550.7058552436083</v>
      </c>
      <c r="AX42" s="74"/>
      <c r="AY42" s="70">
        <f t="shared" si="174"/>
        <v>3230.3811087883087</v>
      </c>
      <c r="AZ42" s="70">
        <f t="shared" si="175"/>
        <v>3230.3811087883087</v>
      </c>
      <c r="BA42" s="70">
        <f t="shared" si="176"/>
        <v>3230.3811087883087</v>
      </c>
      <c r="BB42" s="282">
        <f t="shared" si="149"/>
        <v>9691.1433263649269</v>
      </c>
      <c r="BC42" s="74"/>
      <c r="BD42" s="70">
        <f t="shared" si="177"/>
        <v>3742.5013247158631</v>
      </c>
      <c r="BE42" s="70">
        <f t="shared" si="178"/>
        <v>3742.5013247158631</v>
      </c>
      <c r="BF42" s="70">
        <f t="shared" si="179"/>
        <v>3742.5013247158631</v>
      </c>
      <c r="BG42" s="282">
        <f t="shared" si="150"/>
        <v>11227.503974147588</v>
      </c>
      <c r="BH42" s="74"/>
      <c r="BI42" s="70">
        <f t="shared" si="180"/>
        <v>4621.172381249673</v>
      </c>
      <c r="BJ42" s="70">
        <f t="shared" si="181"/>
        <v>4621.172381249673</v>
      </c>
      <c r="BK42" s="70">
        <f t="shared" si="182"/>
        <v>4621.172381249673</v>
      </c>
      <c r="BL42" s="282">
        <f t="shared" si="151"/>
        <v>13863.517143749019</v>
      </c>
      <c r="BM42" s="74"/>
      <c r="BN42" s="70">
        <f t="shared" si="183"/>
        <v>6112.3944837531581</v>
      </c>
      <c r="BO42" s="70">
        <f t="shared" si="184"/>
        <v>6112.3944837531581</v>
      </c>
      <c r="BP42" s="70">
        <f t="shared" si="185"/>
        <v>6112.3944837531581</v>
      </c>
      <c r="BQ42" s="282">
        <f t="shared" si="152"/>
        <v>18337.183451259472</v>
      </c>
      <c r="BR42" s="74"/>
      <c r="BS42" s="70">
        <f t="shared" si="186"/>
        <v>8711.0708655750495</v>
      </c>
      <c r="BT42" s="70">
        <f t="shared" si="187"/>
        <v>8711.0708655750495</v>
      </c>
      <c r="BU42" s="70">
        <f t="shared" si="188"/>
        <v>8711.0708655750495</v>
      </c>
      <c r="BV42" s="282">
        <f t="shared" si="153"/>
        <v>26133.212596725149</v>
      </c>
      <c r="BW42" s="74"/>
      <c r="BX42" s="70">
        <f t="shared" si="189"/>
        <v>13403.314311950742</v>
      </c>
      <c r="BY42" s="70">
        <f t="shared" si="190"/>
        <v>13403.314311950742</v>
      </c>
      <c r="BZ42" s="70">
        <f t="shared" si="191"/>
        <v>13403.314311950742</v>
      </c>
      <c r="CA42" s="282">
        <f t="shared" si="154"/>
        <v>40209.942935852225</v>
      </c>
      <c r="CB42" s="74"/>
      <c r="CC42" s="70">
        <f t="shared" si="192"/>
        <v>22163.530394777932</v>
      </c>
      <c r="CD42" s="70">
        <f t="shared" si="193"/>
        <v>22163.530394777932</v>
      </c>
      <c r="CE42" s="70">
        <f t="shared" si="194"/>
        <v>22163.530394777932</v>
      </c>
      <c r="CF42" s="282">
        <f t="shared" si="155"/>
        <v>66490.591184333796</v>
      </c>
      <c r="CG42" s="88"/>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1" t="s">
        <v>275</v>
      </c>
      <c r="B43" s="260">
        <v>0.05</v>
      </c>
      <c r="C43" s="293">
        <v>-6.0000000000000001E-3</v>
      </c>
      <c r="D43" s="118"/>
      <c r="E43" s="117"/>
      <c r="F43" s="130">
        <v>10000</v>
      </c>
      <c r="G43" s="131">
        <v>10000</v>
      </c>
      <c r="H43" s="70">
        <f>SUM((IF(ISBLANK(D43),B43,D43)*(H30/3))+(G43))</f>
        <v>10299.898539748176</v>
      </c>
      <c r="I43" s="104">
        <f>SUM(IF(ISBLANK(D43),      (IF((1*(IF(ISBLANK(E43),C43,E43)) + B43) &lt; 0,     0,     (1*(IF(ISBLANK(E43),C43,E43)) + B43)   )),       (IF((1*(IF(ISBLANK(E43),C43,E43)) + D43) &lt; 0,     0,     (1*(IF(ISBLANK(E43),C43,E43)) + D43)   ))  )       *   (I30/3)+(H43))</f>
        <v>11728.274511677919</v>
      </c>
      <c r="J43" s="282">
        <f t="shared" si="156"/>
        <v>126084.5191542783</v>
      </c>
      <c r="K43" s="70">
        <f>SUM(IF(ISBLANK(D43),      (IF((2*(IF(ISBLANK(E43),C43,E43)) + B43) &lt; 0,     0,     (2*(IF(ISBLANK(E43),C43,E43)) + B43)   )),       (IF((2*(IF(ISBLANK(E43),C43,E43)) + D43) &lt; 0,     0,     (2*(IF(ISBLANK(E43),C43,E43)) + D43)   ))  )       *   (K30/3)+(I43))</f>
        <v>14288.937088389965</v>
      </c>
      <c r="L43" s="70">
        <f>SUM(IF(ISBLANK(D43),      (IF((3*(IF(ISBLANK(E43),C43,E43)) + B43) &lt; 0,     0,     (3*(IF(ISBLANK(E43),C43,E43)) + B43)   )),       (IF((3*(IF(ISBLANK(E43),C43,E43)) + D43) &lt; 0,     0,     (3*(IF(ISBLANK(E43),C43,E43)) + D43)   ))  )       *   (L30/3)+(K43))</f>
        <v>18702.602448962745</v>
      </c>
      <c r="M43" s="70">
        <f>SUM(IF(ISBLANK(D43),      (IF((4*(IF(ISBLANK(E43),C43,E43)) + B43) &lt; 0,     0,     (4*(IF(ISBLANK(E43),C43,E43)) + B43)   )),       (IF((4*(IF(ISBLANK(E43),C43,E43)) + D43) &lt; 0,     0,     (4*(IF(ISBLANK(E43),C43,E43)) + D43)   ))  )       *   (M30/3)+(L43))</f>
        <v>25238.461734725679</v>
      </c>
      <c r="N43" s="70">
        <f>SUM(IF(ISBLANK(D43),      (IF((5*(IF(ISBLANK(E43),C43,E43)) + B43) &lt; 0,     0,     (5*(IF(ISBLANK(E43),C43,E43)) + B43)   )),       (IF((5*(IF(ISBLANK(E43),C43,E43)) + D43) &lt; 0,     0,     (5*(IF(ISBLANK(E43),C43,E43)) + D43)   ))  )       *   (N30/3)+(M43))</f>
        <v>34307.478634534287</v>
      </c>
      <c r="O43" s="282">
        <f t="shared" si="157"/>
        <v>277612.43971983803</v>
      </c>
      <c r="P43" s="70">
        <f>SUM(IF(ISBLANK(D43),      (IF((6*(IF(ISBLANK(E43),C43,E43)) + B43) &lt; 0,     0,     (6*(IF(ISBLANK(E43),C43,E43)) + B43)   )),       (IF((6*(IF(ISBLANK(E43),C43,E43)) + D43) &lt; 0,     0,     (6*(IF(ISBLANK(E43),C43,E43)) + D43)   ))  )       *   (P30/3)+(N43))</f>
        <v>45923.611669798433</v>
      </c>
      <c r="Q43" s="70">
        <f>SUM(IF(ISBLANK(D43),      (IF((7*(IF(ISBLANK(E43),C43,E43)) + B43) &lt; 0,     0,     (7*(IF(ISBLANK(E43),C43,E43)) + B43)   )),       (IF((7*(IF(ISBLANK(E43),C43,E43)) + D43) &lt; 0,     0,     (7*(IF(ISBLANK(E43),C43,E43)) + D43)   ))  )       *   (Q30/3)+(P43))</f>
        <v>58275.116209418156</v>
      </c>
      <c r="R43" s="70">
        <f>SUM(IF(ISBLANK(D43),      (IF((8*(IF(ISBLANK(E43),C43,E43)) + B43) &lt; 0,     0,     (8*(IF(ISBLANK(E43),C43,E43)) + B43)   )),       (IF((8*(IF(ISBLANK(E43),C43,E43)) + D43) &lt; 0,     0,     (8*(IF(ISBLANK(E43),C43,E43)) + D43)   ))  )       *   (R30/3)+(Q43))</f>
        <v>64153.05516193778</v>
      </c>
      <c r="S43" s="70">
        <f>SUM(IF(ISBLANK(D43),      (IF((9*(IF(ISBLANK(E43),C43,E43)) + B43) &lt; 0,     0,     (9*(IF(ISBLANK(E43),C43,E43)) + B43)   )),       (IF((9*(IF(ISBLANK(E43),C43,E43)) + D43) &lt; 0,     0,     (9*(IF(ISBLANK(E43),C43,E43)) + D43)   ))  )       *   (S30/3)+(R43))</f>
        <v>64153.05516193778</v>
      </c>
      <c r="T43" s="305">
        <f t="shared" si="158"/>
        <v>697514.51460927643</v>
      </c>
      <c r="U43" s="281">
        <f>SUM(IF(ISBLANK(D43),      (IF((10*(IF(ISBLANK(E43),C43,E43)) + B43) &lt; 0,     0,     (10*(IF(ISBLANK(E43),C43,E43)) + B43)   )),       (IF((10*(IF(ISBLANK(E43),C43,E43)) + D43) &lt; 0,     0,     (10*(IF(ISBLANK(E43),C43,E43)) + D43)   ))  )       *   (U30)+(S43))*12</f>
        <v>769836.66194325336</v>
      </c>
      <c r="V43" s="282">
        <f>SUM(IF(ISBLANK(D43),      (IF((11*(IF(ISBLANK(E43),C43,E43)) + B43) &lt; 0,     0,     (11*(IF(ISBLANK(E43),C43,E43)) + B43)   )),       (IF((11*(IF(ISBLANK(E43),C43,E43)) + D43) &lt; 0,     0,     (11*(IF(ISBLANK(E43),C43,E43)) + D43)   ))  )       *   (V30)+(U43))</f>
        <v>769836.66194325336</v>
      </c>
      <c r="W43" s="283">
        <f>SUM(IF(ISBLANK(D43),      (IF((12*(IF(ISBLANK(E43),C43,E43)) + B43) &lt; 0,     0,     (12*(IF(ISBLANK(E43),C43,E43)) + B43)   )),       (IF((12*(IF(ISBLANK(E43),C43,E43)) + D43) &lt; 0,     0,     (12*(IF(ISBLANK(E43),C43,E43)) + D43)   ))  )       *   (W30)+(V43))</f>
        <v>769836.66194325336</v>
      </c>
      <c r="X43" s="177"/>
      <c r="Y43" s="505">
        <f>SUM(1150+61191+16520+16425+10520+4487)</f>
        <v>110293</v>
      </c>
      <c r="Z43" s="70">
        <f t="shared" si="159"/>
        <v>10000</v>
      </c>
      <c r="AA43" s="70">
        <f t="shared" si="160"/>
        <v>10000</v>
      </c>
      <c r="AB43" s="70">
        <f t="shared" si="161"/>
        <v>10000</v>
      </c>
      <c r="AC43" s="282">
        <f t="shared" si="144"/>
        <v>30000</v>
      </c>
      <c r="AD43" s="74"/>
      <c r="AE43" s="70">
        <f t="shared" si="162"/>
        <v>10000</v>
      </c>
      <c r="AF43" s="70">
        <f t="shared" si="163"/>
        <v>10000</v>
      </c>
      <c r="AG43" s="70">
        <f t="shared" si="164"/>
        <v>10000</v>
      </c>
      <c r="AH43" s="282">
        <f t="shared" si="145"/>
        <v>30000</v>
      </c>
      <c r="AI43" s="74"/>
      <c r="AJ43" s="70">
        <f t="shared" si="165"/>
        <v>10299.898539748176</v>
      </c>
      <c r="AK43" s="70">
        <f t="shared" si="166"/>
        <v>10299.898539748176</v>
      </c>
      <c r="AL43" s="70">
        <f t="shared" si="167"/>
        <v>10299.898539748176</v>
      </c>
      <c r="AM43" s="282">
        <f t="shared" si="146"/>
        <v>30899.695619244529</v>
      </c>
      <c r="AN43" s="74"/>
      <c r="AO43" s="70">
        <f t="shared" si="168"/>
        <v>11728.274511677919</v>
      </c>
      <c r="AP43" s="70">
        <f t="shared" si="169"/>
        <v>11728.274511677919</v>
      </c>
      <c r="AQ43" s="70">
        <f t="shared" si="170"/>
        <v>11728.274511677919</v>
      </c>
      <c r="AR43" s="282">
        <f t="shared" si="147"/>
        <v>35184.823535033756</v>
      </c>
      <c r="AS43" s="74"/>
      <c r="AT43" s="70">
        <f t="shared" si="171"/>
        <v>14288.937088389965</v>
      </c>
      <c r="AU43" s="70">
        <f t="shared" si="172"/>
        <v>14288.937088389965</v>
      </c>
      <c r="AV43" s="70">
        <f t="shared" si="173"/>
        <v>14288.937088389965</v>
      </c>
      <c r="AW43" s="282">
        <f t="shared" si="148"/>
        <v>42866.81126516989</v>
      </c>
      <c r="AX43" s="74"/>
      <c r="AY43" s="70">
        <f t="shared" si="174"/>
        <v>18702.602448962745</v>
      </c>
      <c r="AZ43" s="70">
        <f t="shared" si="175"/>
        <v>18702.602448962745</v>
      </c>
      <c r="BA43" s="70">
        <f t="shared" si="176"/>
        <v>18702.602448962745</v>
      </c>
      <c r="BB43" s="282">
        <f t="shared" si="149"/>
        <v>56107.807346888236</v>
      </c>
      <c r="BC43" s="74"/>
      <c r="BD43" s="70">
        <f t="shared" si="177"/>
        <v>25238.461734725679</v>
      </c>
      <c r="BE43" s="70">
        <f t="shared" si="178"/>
        <v>25238.461734725679</v>
      </c>
      <c r="BF43" s="70">
        <f t="shared" si="179"/>
        <v>25238.461734725679</v>
      </c>
      <c r="BG43" s="282">
        <f t="shared" si="150"/>
        <v>75715.38520417703</v>
      </c>
      <c r="BH43" s="74"/>
      <c r="BI43" s="70">
        <f t="shared" si="180"/>
        <v>34307.478634534287</v>
      </c>
      <c r="BJ43" s="70">
        <f t="shared" si="181"/>
        <v>34307.478634534287</v>
      </c>
      <c r="BK43" s="70">
        <f t="shared" si="182"/>
        <v>34307.478634534287</v>
      </c>
      <c r="BL43" s="282">
        <f t="shared" si="151"/>
        <v>102922.43590360286</v>
      </c>
      <c r="BM43" s="74"/>
      <c r="BN43" s="70">
        <f t="shared" si="183"/>
        <v>45923.611669798433</v>
      </c>
      <c r="BO43" s="70">
        <f t="shared" si="184"/>
        <v>45923.611669798433</v>
      </c>
      <c r="BP43" s="70">
        <f t="shared" si="185"/>
        <v>45923.611669798433</v>
      </c>
      <c r="BQ43" s="282">
        <f t="shared" si="152"/>
        <v>137770.83500939529</v>
      </c>
      <c r="BR43" s="74"/>
      <c r="BS43" s="70">
        <f t="shared" si="186"/>
        <v>58275.116209418156</v>
      </c>
      <c r="BT43" s="70">
        <f t="shared" si="187"/>
        <v>58275.116209418156</v>
      </c>
      <c r="BU43" s="70">
        <f t="shared" si="188"/>
        <v>58275.116209418156</v>
      </c>
      <c r="BV43" s="282">
        <f t="shared" si="153"/>
        <v>174825.34862825446</v>
      </c>
      <c r="BW43" s="74"/>
      <c r="BX43" s="70">
        <f t="shared" si="189"/>
        <v>64153.05516193778</v>
      </c>
      <c r="BY43" s="70">
        <f t="shared" si="190"/>
        <v>64153.05516193778</v>
      </c>
      <c r="BZ43" s="70">
        <f t="shared" si="191"/>
        <v>64153.05516193778</v>
      </c>
      <c r="CA43" s="282">
        <f t="shared" si="154"/>
        <v>192459.16548581334</v>
      </c>
      <c r="CB43" s="74"/>
      <c r="CC43" s="70">
        <f t="shared" si="192"/>
        <v>64153.05516193778</v>
      </c>
      <c r="CD43" s="70">
        <f t="shared" si="193"/>
        <v>64153.05516193778</v>
      </c>
      <c r="CE43" s="70">
        <f t="shared" si="194"/>
        <v>64153.05516193778</v>
      </c>
      <c r="CF43" s="282">
        <f t="shared" si="155"/>
        <v>192459.16548581334</v>
      </c>
      <c r="CG43" s="88"/>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196" t="s">
        <v>276</v>
      </c>
      <c r="B44" s="306">
        <v>3</v>
      </c>
      <c r="C44" s="307">
        <v>-0.05</v>
      </c>
      <c r="D44" s="122"/>
      <c r="E44" s="123"/>
      <c r="F44" s="129">
        <v>6</v>
      </c>
      <c r="G44" s="128">
        <v>5</v>
      </c>
      <c r="H44" s="195">
        <f>SUM((IF(ISBLANK(D44),B44,D44)))</f>
        <v>3</v>
      </c>
      <c r="I44" s="195">
        <f>SUM(H44+(IF(ISBLANK(E44),C44,E44)))</f>
        <v>2.95</v>
      </c>
      <c r="J44" s="279">
        <f>SUM((F44+G44+H44+I44)/4)</f>
        <v>4.2374999999999998</v>
      </c>
      <c r="K44" s="195">
        <f>SUM(I44+(IF(ISBLANK(E44),C44,E44)))</f>
        <v>2.9000000000000004</v>
      </c>
      <c r="L44" s="195">
        <f>SUM(K44+(IF(ISBLANK(E44),C44,E44)))</f>
        <v>2.8500000000000005</v>
      </c>
      <c r="M44" s="195">
        <f>SUM(L44+(IF(ISBLANK(E44),C44,E44)))</f>
        <v>2.8000000000000007</v>
      </c>
      <c r="N44" s="195">
        <f>SUM(M44+(IF(ISBLANK(E44),C44,E44)))</f>
        <v>2.7500000000000009</v>
      </c>
      <c r="O44" s="279">
        <f>SUM(K44+L44+M44+N44)/4</f>
        <v>2.8250000000000002</v>
      </c>
      <c r="P44" s="195">
        <f>SUM(N44+(IF(ISBLANK(E44),C44,E44)))</f>
        <v>2.7000000000000011</v>
      </c>
      <c r="Q44" s="195">
        <f>SUM(P44+(IF(ISBLANK(E44),C44,E44)))</f>
        <v>2.6500000000000012</v>
      </c>
      <c r="R44" s="195">
        <f>SUM(Q44+(IF(ISBLANK(E44),C44,E44)))</f>
        <v>2.6000000000000014</v>
      </c>
      <c r="S44" s="195">
        <f>SUM(R44+(IF(ISBLANK(E44),C44,E44)))</f>
        <v>2.5500000000000016</v>
      </c>
      <c r="T44" s="304">
        <f>SUM(P44+Q44+R44+S44)/4</f>
        <v>2.6250000000000013</v>
      </c>
      <c r="U44" s="278">
        <f>SUM(S44+(IF(ISBLANK(E44),C44,E44)))</f>
        <v>2.5000000000000018</v>
      </c>
      <c r="V44" s="279">
        <f>SUM(U44+(IF(ISBLANK(E44),C44,E44)))</f>
        <v>2.450000000000002</v>
      </c>
      <c r="W44" s="280">
        <f>SUM(V44+(IF(ISBLANK(E44),C44,E44)))</f>
        <v>2.4000000000000021</v>
      </c>
      <c r="X44" s="172"/>
      <c r="Y44" s="506">
        <v>1.2</v>
      </c>
      <c r="Z44" s="195">
        <f>F44</f>
        <v>6</v>
      </c>
      <c r="AA44" s="195">
        <f>F44</f>
        <v>6</v>
      </c>
      <c r="AB44" s="195">
        <f>F44</f>
        <v>6</v>
      </c>
      <c r="AC44" s="279">
        <f>SUM((Z44+AA44+AB44)/3)</f>
        <v>6</v>
      </c>
      <c r="AD44" s="85"/>
      <c r="AE44" s="195">
        <f>G44</f>
        <v>5</v>
      </c>
      <c r="AF44" s="195">
        <f>G44</f>
        <v>5</v>
      </c>
      <c r="AG44" s="195">
        <f>G44</f>
        <v>5</v>
      </c>
      <c r="AH44" s="279">
        <f>SUM((AE44+AF44+AG44)/3)</f>
        <v>5</v>
      </c>
      <c r="AI44" s="85"/>
      <c r="AJ44" s="195">
        <f>H44</f>
        <v>3</v>
      </c>
      <c r="AK44" s="195">
        <f>H44</f>
        <v>3</v>
      </c>
      <c r="AL44" s="195">
        <f>H44</f>
        <v>3</v>
      </c>
      <c r="AM44" s="279">
        <f>SUM((AJ44+AK44+AL44)/3)</f>
        <v>3</v>
      </c>
      <c r="AN44" s="85"/>
      <c r="AO44" s="195">
        <f>I44</f>
        <v>2.95</v>
      </c>
      <c r="AP44" s="195">
        <f>I44</f>
        <v>2.95</v>
      </c>
      <c r="AQ44" s="195">
        <f>I44</f>
        <v>2.95</v>
      </c>
      <c r="AR44" s="279">
        <f>SUM((AO44+AP44+AQ44)/3)</f>
        <v>2.9500000000000006</v>
      </c>
      <c r="AS44" s="85"/>
      <c r="AT44" s="195">
        <f>K44</f>
        <v>2.9000000000000004</v>
      </c>
      <c r="AU44" s="195">
        <f>K44</f>
        <v>2.9000000000000004</v>
      </c>
      <c r="AV44" s="195">
        <f>K44</f>
        <v>2.9000000000000004</v>
      </c>
      <c r="AW44" s="279">
        <f>SUM((AT44+AU44+AV44)/3)</f>
        <v>2.9000000000000004</v>
      </c>
      <c r="AX44" s="85"/>
      <c r="AY44" s="195">
        <f>L44</f>
        <v>2.8500000000000005</v>
      </c>
      <c r="AZ44" s="195">
        <f>L44</f>
        <v>2.8500000000000005</v>
      </c>
      <c r="BA44" s="195">
        <f>L44</f>
        <v>2.8500000000000005</v>
      </c>
      <c r="BB44" s="279">
        <f>SUM((AY44+AZ44+BA44)/3)</f>
        <v>2.85</v>
      </c>
      <c r="BC44" s="85"/>
      <c r="BD44" s="195">
        <f>M44</f>
        <v>2.8000000000000007</v>
      </c>
      <c r="BE44" s="195">
        <f>M44</f>
        <v>2.8000000000000007</v>
      </c>
      <c r="BF44" s="195">
        <f>M44</f>
        <v>2.8000000000000007</v>
      </c>
      <c r="BG44" s="279">
        <f>SUM((BD44+BE44+BF44)/3)</f>
        <v>2.8000000000000007</v>
      </c>
      <c r="BH44" s="85"/>
      <c r="BI44" s="195">
        <f>N44</f>
        <v>2.7500000000000009</v>
      </c>
      <c r="BJ44" s="195">
        <f>N44</f>
        <v>2.7500000000000009</v>
      </c>
      <c r="BK44" s="195">
        <f>N44</f>
        <v>2.7500000000000009</v>
      </c>
      <c r="BL44" s="279">
        <f>SUM((BI44+BJ44+BK44)/3)</f>
        <v>2.7500000000000013</v>
      </c>
      <c r="BM44" s="85"/>
      <c r="BN44" s="195">
        <f>P44</f>
        <v>2.7000000000000011</v>
      </c>
      <c r="BO44" s="195">
        <f>P44</f>
        <v>2.7000000000000011</v>
      </c>
      <c r="BP44" s="195">
        <f>P44</f>
        <v>2.7000000000000011</v>
      </c>
      <c r="BQ44" s="279">
        <f>SUM((BN44+BO44+BP44)/3)</f>
        <v>2.7000000000000011</v>
      </c>
      <c r="BR44" s="85"/>
      <c r="BS44" s="195">
        <f>Q44</f>
        <v>2.6500000000000012</v>
      </c>
      <c r="BT44" s="195">
        <f>Q44</f>
        <v>2.6500000000000012</v>
      </c>
      <c r="BU44" s="195">
        <f>Q44</f>
        <v>2.6500000000000012</v>
      </c>
      <c r="BV44" s="279">
        <f>SUM((BS44+BT44+BU44)/3)</f>
        <v>2.6500000000000012</v>
      </c>
      <c r="BW44" s="85"/>
      <c r="BX44" s="195">
        <f>R44</f>
        <v>2.6000000000000014</v>
      </c>
      <c r="BY44" s="195">
        <f>R44</f>
        <v>2.6000000000000014</v>
      </c>
      <c r="BZ44" s="195">
        <f>R44</f>
        <v>2.6000000000000014</v>
      </c>
      <c r="CA44" s="279">
        <f>SUM((BX44+BY44+BZ44)/3)</f>
        <v>2.6000000000000014</v>
      </c>
      <c r="CB44" s="85"/>
      <c r="CC44" s="195">
        <f>S44</f>
        <v>2.5500000000000016</v>
      </c>
      <c r="CD44" s="195">
        <f>S44</f>
        <v>2.5500000000000016</v>
      </c>
      <c r="CE44" s="195">
        <f>S44</f>
        <v>2.5500000000000016</v>
      </c>
      <c r="CF44" s="279">
        <f>SUM((CC44+CD44+CE44)/3)</f>
        <v>2.5500000000000016</v>
      </c>
      <c r="CG44" s="87"/>
    </row>
    <row r="45" spans="1:175" s="9" customFormat="1" ht="9.75" customHeight="1" x14ac:dyDescent="0.15">
      <c r="A45" s="61" t="s">
        <v>277</v>
      </c>
      <c r="B45" s="260">
        <v>0.3</v>
      </c>
      <c r="C45" s="305">
        <v>10000000</v>
      </c>
      <c r="D45" s="118"/>
      <c r="E45" s="119"/>
      <c r="F45" s="130">
        <v>0</v>
      </c>
      <c r="G45" s="131">
        <v>0</v>
      </c>
      <c r="H45" s="70">
        <f>SUM(G45+(IF(IF(ISBLANK(D45),B45,D45)*(G30/3)&gt;(IF(ISBLANK(E45),C45,E45)),IF(ISBLANK(E45),C45,E45),IF(ISBLANK(D45),B45,D45)*(G30/3))))</f>
        <v>0</v>
      </c>
      <c r="I45" s="104">
        <f>SUM(G45+(IF(IF(ISBLANK(D45),B45,D45)*(H30/3)&gt;(IF(ISBLANK(E45),C45,E45)),IF(ISBLANK(E45),C45,E45),IF(ISBLANK(D45),B45,D45)*(H30/3))))</f>
        <v>1799.3912384890557</v>
      </c>
      <c r="J45" s="282">
        <f t="shared" si="156"/>
        <v>5398.1737154671673</v>
      </c>
      <c r="K45" s="70">
        <f>SUM(G45+(IF(IF(ISBLANK(D45),B45,D45)*(I30/3)&gt;(IF(ISBLANK(E45),C45,E45)),IF(ISBLANK(E45),C45,E45),IF(ISBLANK(D45),B45,D45)*(I30/3))))</f>
        <v>9738.9270813391558</v>
      </c>
      <c r="L45" s="70">
        <f>SUM(G45+(IF(IF(ISBLANK(D45),B45,D45)*(K30/3)&gt;(IF(ISBLANK(E45),C45,E45)),IF(ISBLANK(E45),C45,E45),IF(ISBLANK(D45),B45,D45)*(K30/3))))</f>
        <v>20215.757184568782</v>
      </c>
      <c r="M45" s="70">
        <f>SUM(G45+(IF(IF(ISBLANK(D45),B45,D45)*(L30/3)&gt;(IF(ISBLANK(E45),C45,E45)),IF(ISBLANK(E45),C45,E45),IF(ISBLANK(D45),B45,D45)*(L30/3))))</f>
        <v>41378.112755369832</v>
      </c>
      <c r="N45" s="70">
        <f>SUM(G45+(IF(IF(ISBLANK(D45),B45,D45)*(M30/3)&gt;(IF(ISBLANK(E45),C45,E45)),IF(ISBLANK(E45),C45,E45),IF(ISBLANK(D45),B45,D45)*(M30/3))))</f>
        <v>75413.7609895723</v>
      </c>
      <c r="O45" s="282">
        <f t="shared" si="157"/>
        <v>440239.67403255019</v>
      </c>
      <c r="P45" s="70">
        <f>SUM(G45+(IF(IF(ISBLANK(D45),B45,D45)*(N30/3)&gt;(IF(ISBLANK(E45),C45,E45)),IF(ISBLANK(E45),C45,E45),IF(ISBLANK(D45),B45,D45)*(N30/3))))</f>
        <v>136035.25349712913</v>
      </c>
      <c r="Q45" s="70">
        <f>SUM(G45+(IF(IF(ISBLANK(D45),B45,D45)*(P30/3)&gt;(IF(ISBLANK(E45),C45,E45)),IF(ISBLANK(E45),C45,E45),IF(ISBLANK(D45),B45,D45)*(P30/3))))</f>
        <v>248917.13646994595</v>
      </c>
      <c r="R45" s="70">
        <f>SUM(G45+(IF(IF(ISBLANK(D45),B45,D45)*(Q30/3)&gt;(IF(ISBLANK(E45),C45,E45)),IF(ISBLANK(E45),C45,E45),IF(ISBLANK(D45),B45,D45)*(Q30/3))))</f>
        <v>463181.42023573956</v>
      </c>
      <c r="S45" s="70">
        <f>SUM(G45+(IF(IF(ISBLANK(D45),B45,D45)*(R30/3)&gt;(IF(ISBLANK(E45),C45,E45)),IF(ISBLANK(E45),C45,E45),IF(ISBLANK(D45),B45,D45)*(R30/3))))</f>
        <v>881690.84287794307</v>
      </c>
      <c r="T45" s="305">
        <f t="shared" si="158"/>
        <v>5189473.9592422731</v>
      </c>
      <c r="U45" s="281">
        <f>SUM(G45+(IF(IF(ISBLANK(D45),B45,D45)*(S30)&gt;(IF(ISBLANK(E45),C45,E45)),IF(ISBLANK(E45),C45,E45),IF(ISBLANK(D45),B45,D45)*(S30))))</f>
        <v>5169908.1042893985</v>
      </c>
      <c r="V45" s="282">
        <f>SUM(G45+(IF(IF(ISBLANK(D45),B45,D45)*(U30)&gt;(IF(ISBLANK(E45),C45,E45)),IF(ISBLANK(E45),C45,E45),IF(ISBLANK(D45),B45,D45)*(U30))))</f>
        <v>10000000</v>
      </c>
      <c r="W45" s="283">
        <f>SUM(G45+(IF(IF(ISBLANK(D45),B45,D45)*(V30)&gt;(IF(ISBLANK(E45),C45,E45)),IF(ISBLANK(E45),C45,E45),IF(ISBLANK(D45),B45,D45)*(V30))))</f>
        <v>10000000</v>
      </c>
      <c r="X45" s="177"/>
      <c r="Y45" s="505">
        <v>0</v>
      </c>
      <c r="Z45" s="70">
        <f t="shared" si="159"/>
        <v>0</v>
      </c>
      <c r="AA45" s="70">
        <f t="shared" si="160"/>
        <v>0</v>
      </c>
      <c r="AB45" s="70">
        <f t="shared" si="161"/>
        <v>0</v>
      </c>
      <c r="AC45" s="282">
        <f>SUM(Z45:AB45)</f>
        <v>0</v>
      </c>
      <c r="AD45" s="74"/>
      <c r="AE45" s="70">
        <f t="shared" si="162"/>
        <v>0</v>
      </c>
      <c r="AF45" s="70">
        <f t="shared" si="163"/>
        <v>0</v>
      </c>
      <c r="AG45" s="70">
        <f t="shared" si="164"/>
        <v>0</v>
      </c>
      <c r="AH45" s="282">
        <f t="shared" si="145"/>
        <v>0</v>
      </c>
      <c r="AI45" s="74"/>
      <c r="AJ45" s="70">
        <f t="shared" si="165"/>
        <v>0</v>
      </c>
      <c r="AK45" s="70">
        <f t="shared" si="166"/>
        <v>0</v>
      </c>
      <c r="AL45" s="70">
        <f t="shared" si="167"/>
        <v>0</v>
      </c>
      <c r="AM45" s="282">
        <f>SUM(AJ45:AL45)</f>
        <v>0</v>
      </c>
      <c r="AN45" s="74"/>
      <c r="AO45" s="70">
        <f t="shared" si="168"/>
        <v>1799.3912384890557</v>
      </c>
      <c r="AP45" s="70">
        <f t="shared" si="169"/>
        <v>1799.3912384890557</v>
      </c>
      <c r="AQ45" s="70">
        <f t="shared" si="170"/>
        <v>1799.3912384890557</v>
      </c>
      <c r="AR45" s="282">
        <f>SUM(AO45:AQ45)</f>
        <v>5398.1737154671673</v>
      </c>
      <c r="AS45" s="74"/>
      <c r="AT45" s="70">
        <f t="shared" si="171"/>
        <v>9738.9270813391558</v>
      </c>
      <c r="AU45" s="70">
        <f t="shared" si="172"/>
        <v>9738.9270813391558</v>
      </c>
      <c r="AV45" s="70">
        <f t="shared" si="173"/>
        <v>9738.9270813391558</v>
      </c>
      <c r="AW45" s="282">
        <f>SUM(AT45:AV45)</f>
        <v>29216.781244017468</v>
      </c>
      <c r="AX45" s="74"/>
      <c r="AY45" s="70">
        <f t="shared" si="174"/>
        <v>20215.757184568782</v>
      </c>
      <c r="AZ45" s="70">
        <f t="shared" si="175"/>
        <v>20215.757184568782</v>
      </c>
      <c r="BA45" s="70">
        <f t="shared" si="176"/>
        <v>20215.757184568782</v>
      </c>
      <c r="BB45" s="282">
        <f>SUM(AY45:BA45)</f>
        <v>60647.271553706349</v>
      </c>
      <c r="BC45" s="74"/>
      <c r="BD45" s="70">
        <f t="shared" si="177"/>
        <v>41378.112755369832</v>
      </c>
      <c r="BE45" s="70">
        <f t="shared" si="178"/>
        <v>41378.112755369832</v>
      </c>
      <c r="BF45" s="70">
        <f t="shared" si="179"/>
        <v>41378.112755369832</v>
      </c>
      <c r="BG45" s="282">
        <f>SUM(BD45:BF45)</f>
        <v>124134.33826610949</v>
      </c>
      <c r="BH45" s="74"/>
      <c r="BI45" s="70">
        <f t="shared" si="180"/>
        <v>75413.7609895723</v>
      </c>
      <c r="BJ45" s="70">
        <f t="shared" si="181"/>
        <v>75413.7609895723</v>
      </c>
      <c r="BK45" s="70">
        <f t="shared" si="182"/>
        <v>75413.7609895723</v>
      </c>
      <c r="BL45" s="282">
        <f>SUM(BI45:BK45)</f>
        <v>226241.2829687169</v>
      </c>
      <c r="BM45" s="74"/>
      <c r="BN45" s="70">
        <f t="shared" si="183"/>
        <v>136035.25349712913</v>
      </c>
      <c r="BO45" s="70">
        <f>P45</f>
        <v>136035.25349712913</v>
      </c>
      <c r="BP45" s="70">
        <f t="shared" si="185"/>
        <v>136035.25349712913</v>
      </c>
      <c r="BQ45" s="282">
        <f>SUM(BN45:BP45)</f>
        <v>408105.76049138739</v>
      </c>
      <c r="BR45" s="74"/>
      <c r="BS45" s="70">
        <f t="shared" si="186"/>
        <v>248917.13646994595</v>
      </c>
      <c r="BT45" s="70">
        <f t="shared" si="187"/>
        <v>248917.13646994595</v>
      </c>
      <c r="BU45" s="70">
        <f t="shared" si="188"/>
        <v>248917.13646994595</v>
      </c>
      <c r="BV45" s="282">
        <f>SUM(BS45:BU45)</f>
        <v>746751.4094098378</v>
      </c>
      <c r="BW45" s="74"/>
      <c r="BX45" s="70">
        <f t="shared" si="189"/>
        <v>463181.42023573956</v>
      </c>
      <c r="BY45" s="70">
        <f t="shared" si="190"/>
        <v>463181.42023573956</v>
      </c>
      <c r="BZ45" s="70">
        <f t="shared" si="191"/>
        <v>463181.42023573956</v>
      </c>
      <c r="CA45" s="282">
        <f>SUM(BX45:BZ45)</f>
        <v>1389544.2607072187</v>
      </c>
      <c r="CB45" s="74"/>
      <c r="CC45" s="70">
        <f t="shared" si="192"/>
        <v>881690.84287794307</v>
      </c>
      <c r="CD45" s="70">
        <f t="shared" si="193"/>
        <v>881690.84287794307</v>
      </c>
      <c r="CE45" s="70">
        <f t="shared" si="194"/>
        <v>881690.84287794307</v>
      </c>
      <c r="CF45" s="282">
        <f>SUM(CC45:CE45)</f>
        <v>2645072.5286338292</v>
      </c>
      <c r="CG45" s="88"/>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1" t="s">
        <v>278</v>
      </c>
      <c r="B46" s="493">
        <v>100000</v>
      </c>
      <c r="C46" s="305"/>
      <c r="D46" s="116"/>
      <c r="E46" s="357"/>
      <c r="F46" s="130">
        <v>1000</v>
      </c>
      <c r="G46" s="494">
        <f>SUM((IF(ISBLANK(D46),B46,D46)/3)*0.35)</f>
        <v>11666.666666666666</v>
      </c>
      <c r="H46" s="494">
        <f>SUM((IF(ISBLANK(D46),B46,D46)/3)*0.3)</f>
        <v>10000</v>
      </c>
      <c r="I46" s="495">
        <f>SUM((IF(ISBLANK(D46),B46,D46)/3)*0.2)</f>
        <v>6666.6666666666679</v>
      </c>
      <c r="J46" s="282">
        <f>SUM(F46:I46)*3</f>
        <v>88000</v>
      </c>
      <c r="K46" s="494">
        <f>SUM((IF(ISBLANK(D46),B46,D46)/3)*0.15)</f>
        <v>5000</v>
      </c>
      <c r="L46" s="70">
        <v>0</v>
      </c>
      <c r="M46" s="70">
        <v>0</v>
      </c>
      <c r="N46" s="70">
        <v>0</v>
      </c>
      <c r="O46" s="282">
        <f>SUM(K46:N46)*3</f>
        <v>15000</v>
      </c>
      <c r="P46" s="70">
        <v>0</v>
      </c>
      <c r="Q46" s="70">
        <v>0</v>
      </c>
      <c r="R46" s="70">
        <v>0</v>
      </c>
      <c r="S46" s="70">
        <v>0</v>
      </c>
      <c r="T46" s="305">
        <f>SUM(P46:S46)*3</f>
        <v>0</v>
      </c>
      <c r="U46" s="281">
        <v>0</v>
      </c>
      <c r="V46" s="282">
        <v>0</v>
      </c>
      <c r="W46" s="283">
        <v>0</v>
      </c>
      <c r="X46" s="177"/>
      <c r="Y46" s="505">
        <v>2000</v>
      </c>
      <c r="Z46" s="70">
        <f t="shared" si="159"/>
        <v>1000</v>
      </c>
      <c r="AA46" s="70">
        <f t="shared" si="160"/>
        <v>1000</v>
      </c>
      <c r="AB46" s="70">
        <f t="shared" si="161"/>
        <v>1000</v>
      </c>
      <c r="AC46" s="282">
        <f>SUM(Z46:AB46)</f>
        <v>3000</v>
      </c>
      <c r="AD46" s="74"/>
      <c r="AE46" s="70">
        <f t="shared" si="162"/>
        <v>11666.666666666666</v>
      </c>
      <c r="AF46" s="70">
        <f t="shared" si="163"/>
        <v>11666.666666666666</v>
      </c>
      <c r="AG46" s="70">
        <f t="shared" si="164"/>
        <v>11666.666666666666</v>
      </c>
      <c r="AH46" s="282">
        <f t="shared" si="145"/>
        <v>35000</v>
      </c>
      <c r="AI46" s="74"/>
      <c r="AJ46" s="70">
        <f t="shared" si="165"/>
        <v>10000</v>
      </c>
      <c r="AK46" s="70">
        <f t="shared" si="166"/>
        <v>10000</v>
      </c>
      <c r="AL46" s="70">
        <f t="shared" si="167"/>
        <v>10000</v>
      </c>
      <c r="AM46" s="282">
        <f>SUM(AJ46:AL46)</f>
        <v>30000</v>
      </c>
      <c r="AN46" s="74"/>
      <c r="AO46" s="70">
        <f t="shared" si="168"/>
        <v>6666.6666666666679</v>
      </c>
      <c r="AP46" s="70">
        <f t="shared" si="169"/>
        <v>6666.6666666666679</v>
      </c>
      <c r="AQ46" s="70">
        <f t="shared" si="170"/>
        <v>6666.6666666666679</v>
      </c>
      <c r="AR46" s="282">
        <f>SUM(AO46:AQ46)</f>
        <v>20000.000000000004</v>
      </c>
      <c r="AS46" s="74"/>
      <c r="AT46" s="70">
        <f t="shared" si="171"/>
        <v>5000</v>
      </c>
      <c r="AU46" s="70">
        <f t="shared" si="172"/>
        <v>5000</v>
      </c>
      <c r="AV46" s="70">
        <f t="shared" si="173"/>
        <v>5000</v>
      </c>
      <c r="AW46" s="282">
        <f>SUM(AT46:AV46)</f>
        <v>15000</v>
      </c>
      <c r="AX46" s="74"/>
      <c r="AY46" s="70">
        <f t="shared" si="174"/>
        <v>0</v>
      </c>
      <c r="AZ46" s="70">
        <f t="shared" si="175"/>
        <v>0</v>
      </c>
      <c r="BA46" s="70">
        <f t="shared" si="176"/>
        <v>0</v>
      </c>
      <c r="BB46" s="282">
        <f>SUM(AY46:BA46)</f>
        <v>0</v>
      </c>
      <c r="BC46" s="74"/>
      <c r="BD46" s="70">
        <f t="shared" si="177"/>
        <v>0</v>
      </c>
      <c r="BE46" s="70">
        <f t="shared" si="178"/>
        <v>0</v>
      </c>
      <c r="BF46" s="70">
        <f t="shared" si="179"/>
        <v>0</v>
      </c>
      <c r="BG46" s="282">
        <f>SUM(BD46:BF46)</f>
        <v>0</v>
      </c>
      <c r="BH46" s="74"/>
      <c r="BI46" s="70">
        <f t="shared" si="180"/>
        <v>0</v>
      </c>
      <c r="BJ46" s="70">
        <f t="shared" si="181"/>
        <v>0</v>
      </c>
      <c r="BK46" s="70">
        <f t="shared" si="182"/>
        <v>0</v>
      </c>
      <c r="BL46" s="282">
        <f>SUM(BI46:BK46)</f>
        <v>0</v>
      </c>
      <c r="BM46" s="74"/>
      <c r="BN46" s="70">
        <f t="shared" si="183"/>
        <v>0</v>
      </c>
      <c r="BO46" s="70">
        <f>P46</f>
        <v>0</v>
      </c>
      <c r="BP46" s="70">
        <f t="shared" si="185"/>
        <v>0</v>
      </c>
      <c r="BQ46" s="282">
        <f>SUM(BN46:BP46)</f>
        <v>0</v>
      </c>
      <c r="BR46" s="74"/>
      <c r="BS46" s="70">
        <f t="shared" si="186"/>
        <v>0</v>
      </c>
      <c r="BT46" s="70">
        <f t="shared" si="187"/>
        <v>0</v>
      </c>
      <c r="BU46" s="70">
        <f t="shared" si="188"/>
        <v>0</v>
      </c>
      <c r="BV46" s="282">
        <f>SUM(BS46:BU46)</f>
        <v>0</v>
      </c>
      <c r="BW46" s="74"/>
      <c r="BX46" s="70">
        <f t="shared" si="189"/>
        <v>0</v>
      </c>
      <c r="BY46" s="70">
        <f t="shared" si="190"/>
        <v>0</v>
      </c>
      <c r="BZ46" s="70">
        <f t="shared" si="191"/>
        <v>0</v>
      </c>
      <c r="CA46" s="282">
        <f>SUM(BX46:BZ46)</f>
        <v>0</v>
      </c>
      <c r="CB46" s="74"/>
      <c r="CC46" s="70">
        <f t="shared" si="192"/>
        <v>0</v>
      </c>
      <c r="CD46" s="70">
        <f t="shared" si="193"/>
        <v>0</v>
      </c>
      <c r="CE46" s="70">
        <f t="shared" si="194"/>
        <v>0</v>
      </c>
      <c r="CF46" s="282">
        <f>SUM(CC46:CE46)</f>
        <v>0</v>
      </c>
      <c r="CG46" s="88"/>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2" t="s">
        <v>207</v>
      </c>
      <c r="B47" s="161"/>
      <c r="C47" s="157"/>
      <c r="D47" s="161"/>
      <c r="E47" s="86"/>
      <c r="F47" s="105">
        <f>AC47</f>
        <v>123682.35642221538</v>
      </c>
      <c r="G47" s="77">
        <f>AH47</f>
        <v>155768.57042458723</v>
      </c>
      <c r="H47" s="77">
        <f>AM47</f>
        <v>159742.47563002061</v>
      </c>
      <c r="I47" s="77">
        <f>AR47</f>
        <v>183172.23379109518</v>
      </c>
      <c r="J47" s="72">
        <f>SUM(F47:I47)</f>
        <v>622365.63626791839</v>
      </c>
      <c r="K47" s="77">
        <f>AW47</f>
        <v>273868.21632011927</v>
      </c>
      <c r="L47" s="77">
        <f>BB47</f>
        <v>381038.8888008545</v>
      </c>
      <c r="M47" s="77">
        <f>BG47</f>
        <v>607957.61815712356</v>
      </c>
      <c r="N47" s="77">
        <f>BL47</f>
        <v>988254.02804188093</v>
      </c>
      <c r="O47" s="72">
        <f>SUM(K47:N47)</f>
        <v>2251118.7513199784</v>
      </c>
      <c r="P47" s="77">
        <f>BQ47</f>
        <v>1644431.1707234757</v>
      </c>
      <c r="Q47" s="77">
        <f>BV47</f>
        <v>2813907.8065774343</v>
      </c>
      <c r="R47" s="77">
        <f>CA47</f>
        <v>4935382.7765534883</v>
      </c>
      <c r="S47" s="77">
        <f>CF47</f>
        <v>8958864.5474205725</v>
      </c>
      <c r="T47" s="158">
        <f>SUM(P47:S47)</f>
        <v>18352586.30127497</v>
      </c>
      <c r="U47" s="162">
        <f>SUM(U33:U45)</f>
        <v>114655185.71410616</v>
      </c>
      <c r="V47" s="72">
        <f>SUM(V33:V45)</f>
        <v>256832945.40151772</v>
      </c>
      <c r="W47" s="89">
        <f>SUM(W33:W45)</f>
        <v>548041469.54709494</v>
      </c>
      <c r="X47" s="178"/>
      <c r="Y47" s="509">
        <f>SUM(Y33:Y46)</f>
        <v>1083618.2</v>
      </c>
      <c r="Z47" s="77">
        <f>SUM(Z33:Z46)</f>
        <v>41227.45214073846</v>
      </c>
      <c r="AA47" s="77">
        <f>SUM(AA33:AA46)</f>
        <v>41227.45214073846</v>
      </c>
      <c r="AB47" s="77">
        <f>SUM(AB33:AB46)</f>
        <v>41227.45214073846</v>
      </c>
      <c r="AC47" s="72">
        <f>SUM(Z47:AB47)</f>
        <v>123682.35642221538</v>
      </c>
      <c r="AD47" s="72"/>
      <c r="AE47" s="77">
        <f>SUM(AE33:AE46)</f>
        <v>51922.856808195742</v>
      </c>
      <c r="AF47" s="77">
        <f>SUM(AF33:AF46)</f>
        <v>51922.856808195742</v>
      </c>
      <c r="AG47" s="77">
        <f>SUM(AG33:AG46)</f>
        <v>51922.856808195742</v>
      </c>
      <c r="AH47" s="72">
        <f>SUM(AE47:AG47)</f>
        <v>155768.57042458723</v>
      </c>
      <c r="AI47" s="72"/>
      <c r="AJ47" s="77">
        <f>SUM(AJ33:AJ46)</f>
        <v>53247.491876673535</v>
      </c>
      <c r="AK47" s="77">
        <f>SUM(AK33:AK46)</f>
        <v>53247.491876673535</v>
      </c>
      <c r="AL47" s="77">
        <f>SUM(AL33:AL46)</f>
        <v>53247.491876673535</v>
      </c>
      <c r="AM47" s="72">
        <f>SUM(AJ47:AL47)</f>
        <v>159742.47563002061</v>
      </c>
      <c r="AN47" s="72"/>
      <c r="AO47" s="77">
        <f>SUM(AO33:AO46)</f>
        <v>61057.411263698392</v>
      </c>
      <c r="AP47" s="77">
        <f>SUM(AP33:AP46)</f>
        <v>61057.411263698392</v>
      </c>
      <c r="AQ47" s="77">
        <f>SUM(AQ33:AQ46)</f>
        <v>61057.411263698392</v>
      </c>
      <c r="AR47" s="72">
        <f>SUM(AO47:AQ47)</f>
        <v>183172.23379109518</v>
      </c>
      <c r="AS47" s="72"/>
      <c r="AT47" s="77">
        <f>SUM(AT33:AT46)</f>
        <v>91289.405440039758</v>
      </c>
      <c r="AU47" s="77">
        <f>SUM(AU33:AU46)</f>
        <v>91289.405440039758</v>
      </c>
      <c r="AV47" s="77">
        <f>SUM(AV33:AV46)</f>
        <v>91289.405440039758</v>
      </c>
      <c r="AW47" s="72">
        <f>SUM(AT47:AV47)</f>
        <v>273868.21632011927</v>
      </c>
      <c r="AX47" s="72"/>
      <c r="AY47" s="77">
        <f>SUM(AY33:AY46)</f>
        <v>127012.96293361817</v>
      </c>
      <c r="AZ47" s="77">
        <f>SUM(AZ33:AZ46)</f>
        <v>127012.96293361817</v>
      </c>
      <c r="BA47" s="77">
        <f>SUM(BA33:BA46)</f>
        <v>127012.96293361817</v>
      </c>
      <c r="BB47" s="72">
        <f>SUM(AY47:BA47)</f>
        <v>381038.8888008545</v>
      </c>
      <c r="BC47" s="72"/>
      <c r="BD47" s="77">
        <f>SUM(BD33:BD46)</f>
        <v>202652.53938570785</v>
      </c>
      <c r="BE47" s="77">
        <f>SUM(BE33:BE46)</f>
        <v>202652.53938570785</v>
      </c>
      <c r="BF47" s="77">
        <f>SUM(BF33:BF46)</f>
        <v>202652.53938570785</v>
      </c>
      <c r="BG47" s="72">
        <f>SUM(BD47:BF47)</f>
        <v>607957.61815712356</v>
      </c>
      <c r="BH47" s="72"/>
      <c r="BI47" s="77">
        <f>SUM(BI33:BI46)</f>
        <v>329418.00934729364</v>
      </c>
      <c r="BJ47" s="77">
        <f>SUM(BJ33:BJ46)</f>
        <v>329418.00934729364</v>
      </c>
      <c r="BK47" s="77">
        <f>SUM(BK33:BK46)</f>
        <v>329418.00934729364</v>
      </c>
      <c r="BL47" s="72">
        <f>SUM(BI47:BK47)</f>
        <v>988254.02804188093</v>
      </c>
      <c r="BM47" s="72"/>
      <c r="BN47" s="77">
        <f>SUM(BN33:BN46)</f>
        <v>548143.72357449192</v>
      </c>
      <c r="BO47" s="77">
        <f>SUM(BO33:BO46)</f>
        <v>548143.72357449192</v>
      </c>
      <c r="BP47" s="77">
        <f>SUM(BP33:BP46)</f>
        <v>548143.72357449192</v>
      </c>
      <c r="BQ47" s="72">
        <f>SUM(BN47:BP47)</f>
        <v>1644431.1707234757</v>
      </c>
      <c r="BR47" s="72"/>
      <c r="BS47" s="77">
        <f>SUM(BS33:BS46)</f>
        <v>937969.26885914477</v>
      </c>
      <c r="BT47" s="77">
        <f>SUM(BT33:BT46)</f>
        <v>937969.26885914477</v>
      </c>
      <c r="BU47" s="77">
        <f>SUM(BU33:BU46)</f>
        <v>937969.26885914477</v>
      </c>
      <c r="BV47" s="72">
        <f>SUM(BS47:BU47)</f>
        <v>2813907.8065774343</v>
      </c>
      <c r="BW47" s="72"/>
      <c r="BX47" s="77">
        <f>SUM(BX33:BX46)</f>
        <v>1645127.5921844961</v>
      </c>
      <c r="BY47" s="77">
        <f>SUM(BY33:BY46)</f>
        <v>1645127.5921844961</v>
      </c>
      <c r="BZ47" s="77">
        <f>SUM(BZ33:BZ46)</f>
        <v>1645127.5921844961</v>
      </c>
      <c r="CA47" s="72">
        <f>SUM(BX47:BZ47)</f>
        <v>4935382.7765534883</v>
      </c>
      <c r="CB47" s="72"/>
      <c r="CC47" s="77">
        <f>SUM(CC33:CC46)</f>
        <v>2986288.182473524</v>
      </c>
      <c r="CD47" s="77">
        <f>SUM(CD33:CD46)</f>
        <v>2986288.182473524</v>
      </c>
      <c r="CE47" s="77">
        <f>SUM(CE33:CE46)</f>
        <v>2986288.182473524</v>
      </c>
      <c r="CF47" s="72">
        <f>SUM(CC47:CE47)</f>
        <v>8958864.5474205725</v>
      </c>
      <c r="CG47" s="89"/>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3"/>
      <c r="B48" s="40"/>
      <c r="C48" s="108"/>
      <c r="D48" s="40"/>
      <c r="E48" s="42"/>
      <c r="F48" s="106"/>
      <c r="G48" s="67"/>
      <c r="H48" s="67"/>
      <c r="I48" s="67"/>
      <c r="J48" s="67"/>
      <c r="K48" s="67"/>
      <c r="L48" s="67"/>
      <c r="M48" s="67"/>
      <c r="N48" s="67"/>
      <c r="O48" s="67"/>
      <c r="P48" s="67"/>
      <c r="Q48" s="67"/>
      <c r="R48" s="67"/>
      <c r="S48" s="67"/>
      <c r="T48" s="159"/>
      <c r="U48" s="163"/>
      <c r="V48" s="67"/>
      <c r="W48" s="68"/>
      <c r="X48" s="167"/>
      <c r="Y48" s="78"/>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80"/>
      <c r="CG48" s="81"/>
    </row>
    <row r="49" spans="1:175" s="9" customFormat="1" ht="15" customHeight="1" thickBot="1" x14ac:dyDescent="0.2">
      <c r="A49" s="132" t="s">
        <v>208</v>
      </c>
      <c r="B49" s="311"/>
      <c r="C49" s="312"/>
      <c r="D49" s="311"/>
      <c r="E49" s="313"/>
      <c r="F49" s="107">
        <f>AC49</f>
        <v>-123682.35642221538</v>
      </c>
      <c r="G49" s="97">
        <f>AH49</f>
        <v>-155768.57042458723</v>
      </c>
      <c r="H49" s="97">
        <f>AM49</f>
        <v>-141748.56324513006</v>
      </c>
      <c r="I49" s="97">
        <f>AR49</f>
        <v>-85782.962977703617</v>
      </c>
      <c r="J49" s="83">
        <f>SUM(F49:I49)</f>
        <v>-506982.45306963625</v>
      </c>
      <c r="K49" s="97">
        <f>AW49</f>
        <v>-71710.644474431465</v>
      </c>
      <c r="L49" s="95">
        <f>BB49</f>
        <v>32742.23875284387</v>
      </c>
      <c r="M49" s="95">
        <f>BG49</f>
        <v>146179.99173859949</v>
      </c>
      <c r="N49" s="95">
        <f>BL49</f>
        <v>372098.50692941051</v>
      </c>
      <c r="O49" s="83">
        <f>SUM(K49:N49)</f>
        <v>479310.0929464224</v>
      </c>
      <c r="P49" s="95">
        <f>BQ49</f>
        <v>844740.19397598389</v>
      </c>
      <c r="Q49" s="95">
        <f>BV49</f>
        <v>1817906.3957799613</v>
      </c>
      <c r="R49" s="95">
        <f>CA49</f>
        <v>3881525.6522259424</v>
      </c>
      <c r="S49" s="95">
        <f>CF49</f>
        <v>8274162.4668774232</v>
      </c>
      <c r="T49" s="308">
        <f>SUM(P49:S49)</f>
        <v>14818334.70885931</v>
      </c>
      <c r="U49" s="309">
        <f>SUM(U30-U47)</f>
        <v>77498491.155441895</v>
      </c>
      <c r="V49" s="83">
        <f>SUM(V30-V47)</f>
        <v>310378254.06958771</v>
      </c>
      <c r="W49" s="310">
        <f>SUM(W30-W47)</f>
        <v>737252270.9953717</v>
      </c>
      <c r="X49" s="179"/>
      <c r="Y49" s="510">
        <f>SUM(Y30-Y47)</f>
        <v>-1083618.2</v>
      </c>
      <c r="Z49" s="96">
        <f>Z30-Z47</f>
        <v>-41227.45214073846</v>
      </c>
      <c r="AA49" s="96">
        <f>AA30-AA47</f>
        <v>-41227.45214073846</v>
      </c>
      <c r="AB49" s="96">
        <f>AB30-AB47</f>
        <v>-41227.45214073846</v>
      </c>
      <c r="AC49" s="82">
        <f>AC30-AC47</f>
        <v>-123682.35642221538</v>
      </c>
      <c r="AD49" s="82"/>
      <c r="AE49" s="96">
        <f>AE30-AE47</f>
        <v>-51922.856808195742</v>
      </c>
      <c r="AF49" s="96">
        <f>AF30-AF47</f>
        <v>-51922.856808195742</v>
      </c>
      <c r="AG49" s="96">
        <f>AG30-AG47</f>
        <v>-51922.856808195742</v>
      </c>
      <c r="AH49" s="82">
        <f>AH30-AH47</f>
        <v>-155768.57042458723</v>
      </c>
      <c r="AI49" s="82"/>
      <c r="AJ49" s="96">
        <f>AJ30-AJ47</f>
        <v>-49581.405682308134</v>
      </c>
      <c r="AK49" s="96">
        <f>AK30-AK47</f>
        <v>-47302.485892009114</v>
      </c>
      <c r="AL49" s="96">
        <f>AL30-AL47</f>
        <v>-44864.671670812801</v>
      </c>
      <c r="AM49" s="82">
        <f>AM30-AM47</f>
        <v>-141748.56324513006</v>
      </c>
      <c r="AN49" s="82"/>
      <c r="AO49" s="96">
        <f>AO30-AO47</f>
        <v>-35090.932471705783</v>
      </c>
      <c r="AP49" s="96">
        <f>AP30-AP47</f>
        <v>-28689.753631595901</v>
      </c>
      <c r="AQ49" s="96">
        <f>AQ30-AQ47</f>
        <v>-22002.276874401934</v>
      </c>
      <c r="AR49" s="82">
        <f>AR30-AR47</f>
        <v>-85782.962977703617</v>
      </c>
      <c r="AS49" s="82"/>
      <c r="AT49" s="96">
        <f>AT30-AT47</f>
        <v>-32972.943423999292</v>
      </c>
      <c r="AU49" s="96">
        <f>AU30-AU47</f>
        <v>-23969.471267700646</v>
      </c>
      <c r="AV49" s="96">
        <f>AV30-AV47</f>
        <v>-14768.22978273152</v>
      </c>
      <c r="AW49" s="82">
        <f>AW30-AW47</f>
        <v>-71710.644474431465</v>
      </c>
      <c r="AX49" s="82"/>
      <c r="AY49" s="96">
        <f>AY30-AY47</f>
        <v>-4940.9000898286613</v>
      </c>
      <c r="AZ49" s="96">
        <f>AZ30-AZ47</f>
        <v>10898.463177752186</v>
      </c>
      <c r="BA49" s="96">
        <f>BA30-BA47</f>
        <v>26784.675664920389</v>
      </c>
      <c r="BB49" s="82">
        <f>BB30-BB47</f>
        <v>32742.23875284387</v>
      </c>
      <c r="BC49" s="82"/>
      <c r="BD49" s="96">
        <f>BD30-BD47</f>
        <v>21359.780430891144</v>
      </c>
      <c r="BE49" s="96">
        <f>BE30-BE47</f>
        <v>48672.538738878065</v>
      </c>
      <c r="BF49" s="96">
        <f>BF30-BF47</f>
        <v>76147.672568830283</v>
      </c>
      <c r="BG49" s="82">
        <f>BG30-BG47</f>
        <v>146179.99173859949</v>
      </c>
      <c r="BH49" s="82"/>
      <c r="BI49" s="96">
        <f>BI30-BI47</f>
        <v>66639.231357175857</v>
      </c>
      <c r="BJ49" s="96">
        <f>BJ30-BJ47</f>
        <v>123748.67057584203</v>
      </c>
      <c r="BK49" s="96">
        <f>BK30-BK47</f>
        <v>181710.60499639268</v>
      </c>
      <c r="BL49" s="82">
        <f>BL30-BL47</f>
        <v>372098.50692941051</v>
      </c>
      <c r="BM49" s="82"/>
      <c r="BN49" s="96">
        <f>BN30-BN47</f>
        <v>166363.70611482603</v>
      </c>
      <c r="BO49" s="96">
        <f>BO30-BO47</f>
        <v>280669.48017242318</v>
      </c>
      <c r="BP49" s="96">
        <f>BP30-BP47</f>
        <v>397707.00768873445</v>
      </c>
      <c r="BQ49" s="82">
        <f>BQ30-BQ47</f>
        <v>844740.19397598389</v>
      </c>
      <c r="BR49" s="82"/>
      <c r="BS49" s="96">
        <f>BS30-BS47</f>
        <v>373986.03543420299</v>
      </c>
      <c r="BT49" s="96">
        <f>BT30-BT47</f>
        <v>603455.84982751403</v>
      </c>
      <c r="BU49" s="96">
        <f>BU30-BU47</f>
        <v>840464.51051824377</v>
      </c>
      <c r="BV49" s="82">
        <f>BV30-BV47</f>
        <v>1817906.3957799613</v>
      </c>
      <c r="BW49" s="82"/>
      <c r="BX49" s="96">
        <f>BX30-BX47</f>
        <v>818348.27054004651</v>
      </c>
      <c r="BY49" s="96">
        <f>BY30-BY47</f>
        <v>1287310.6802851693</v>
      </c>
      <c r="BZ49" s="96">
        <f>BZ30-BZ47</f>
        <v>1775866.701400727</v>
      </c>
      <c r="CA49" s="82">
        <f>CA30-CA47</f>
        <v>3881525.6522259424</v>
      </c>
      <c r="CB49" s="82"/>
      <c r="CC49" s="96">
        <f>CC30-CC47</f>
        <v>1764119.8705397951</v>
      </c>
      <c r="CD49" s="96">
        <f>CD30-CD47</f>
        <v>2741548.0965605439</v>
      </c>
      <c r="CE49" s="96">
        <f>CE30-CE47</f>
        <v>3768494.4997770838</v>
      </c>
      <c r="CF49" s="83">
        <f>CF30-CF47</f>
        <v>8274162.4668774232</v>
      </c>
      <c r="CG49" s="310"/>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15"/>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58"/>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15"/>
      <c r="B54" s="200"/>
      <c r="C54" s="200"/>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53" t="s">
        <v>52</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48"/>
      <c r="E56" s="17"/>
      <c r="F56" s="23"/>
      <c r="G56" s="23"/>
      <c r="H56" s="23"/>
      <c r="I56" s="23"/>
      <c r="J56" s="353" t="s">
        <v>52</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53" t="s">
        <v>52</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53"/>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53"/>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59"/>
      <c r="C60" s="12"/>
      <c r="D60" s="19"/>
      <c r="E60" s="12"/>
      <c r="F60" s="23"/>
      <c r="G60" s="23"/>
      <c r="H60" s="23"/>
      <c r="I60" s="23"/>
      <c r="J60" s="353"/>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59"/>
      <c r="C61" s="12"/>
      <c r="D61" s="19"/>
      <c r="E61" s="12"/>
      <c r="F61" s="23"/>
      <c r="G61" s="23"/>
      <c r="H61" s="23"/>
      <c r="I61" s="23"/>
      <c r="J61" s="353"/>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53" t="s">
        <v>52</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51"/>
      <c r="G63" s="351"/>
      <c r="H63" s="351"/>
      <c r="I63" s="351"/>
      <c r="J63" s="352" t="s">
        <v>52</v>
      </c>
      <c r="K63" s="26"/>
      <c r="L63" s="26"/>
      <c r="M63" s="26"/>
      <c r="N63" s="26"/>
      <c r="O63" s="26"/>
      <c r="P63" s="26"/>
      <c r="Q63" s="26"/>
      <c r="R63" s="26"/>
      <c r="S63" s="26"/>
      <c r="T63" s="26"/>
      <c r="U63" s="26"/>
      <c r="V63" s="26"/>
      <c r="W63" s="26"/>
      <c r="X63" s="26"/>
      <c r="Y63" s="26"/>
      <c r="Z63" s="12"/>
      <c r="AA63" s="13"/>
      <c r="AB63" s="13"/>
      <c r="AC63" s="13"/>
      <c r="AD63" s="111"/>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59"/>
      <c r="C64" s="12"/>
      <c r="D64" s="19"/>
      <c r="E64" s="12"/>
      <c r="F64" s="351"/>
      <c r="G64" s="351"/>
      <c r="H64" s="351"/>
      <c r="I64" s="351"/>
      <c r="J64" s="352"/>
      <c r="K64" s="26"/>
      <c r="L64" s="26"/>
      <c r="M64" s="26"/>
      <c r="N64" s="26"/>
      <c r="O64" s="26"/>
      <c r="P64" s="26"/>
      <c r="Q64" s="26"/>
      <c r="R64" s="26"/>
      <c r="S64" s="26"/>
      <c r="T64" s="26"/>
      <c r="U64" s="26"/>
      <c r="V64" s="26"/>
      <c r="W64" s="26"/>
      <c r="X64" s="26"/>
      <c r="Y64" s="26"/>
      <c r="Z64" s="12"/>
      <c r="AA64" s="13"/>
      <c r="AB64" s="13"/>
      <c r="AC64" s="13"/>
      <c r="AD64" s="111"/>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54" t="s">
        <v>52</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53" t="s">
        <v>52</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53" t="s">
        <v>52</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59"/>
      <c r="C68" s="12"/>
      <c r="D68" s="12"/>
      <c r="E68" s="12"/>
      <c r="F68" s="23"/>
      <c r="G68" s="23"/>
      <c r="H68" s="23"/>
      <c r="I68" s="23"/>
      <c r="J68" s="353"/>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52"/>
      <c r="K69" s="26"/>
      <c r="L69" s="26"/>
      <c r="M69" s="26"/>
      <c r="N69" s="26"/>
      <c r="O69" s="26"/>
      <c r="P69" s="26"/>
      <c r="Q69" s="26"/>
      <c r="R69" s="26"/>
      <c r="S69" s="26"/>
      <c r="T69" s="26"/>
      <c r="U69" s="26"/>
      <c r="V69" s="26"/>
      <c r="W69" s="26"/>
      <c r="X69" s="26"/>
      <c r="Y69" s="26"/>
      <c r="Z69" s="12"/>
      <c r="AA69" s="13"/>
      <c r="AB69" s="13"/>
      <c r="AC69" s="13"/>
      <c r="AD69" s="111"/>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52"/>
      <c r="K70" s="26"/>
      <c r="L70" s="26"/>
      <c r="M70" s="26"/>
      <c r="N70" s="26"/>
      <c r="O70" s="26"/>
      <c r="P70" s="26"/>
      <c r="Q70" s="26"/>
      <c r="R70" s="26"/>
      <c r="S70" s="26"/>
      <c r="T70" s="26"/>
      <c r="U70" s="26"/>
      <c r="V70" s="26"/>
      <c r="W70" s="26"/>
      <c r="X70" s="26"/>
      <c r="Y70" s="26"/>
      <c r="Z70" s="12"/>
      <c r="AA70" s="13"/>
      <c r="AB70" s="13"/>
      <c r="AC70" s="13"/>
      <c r="AD70" s="111"/>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199"/>
      <c r="B71" s="12"/>
      <c r="C71" s="12"/>
      <c r="D71" s="12"/>
      <c r="E71" s="12"/>
      <c r="F71" s="23"/>
      <c r="G71" s="23"/>
      <c r="H71" s="23"/>
      <c r="I71" s="23"/>
      <c r="J71" s="353" t="s">
        <v>52</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01"/>
      <c r="B72" s="14"/>
      <c r="C72" s="14"/>
      <c r="F72" s="27"/>
      <c r="G72" s="27"/>
      <c r="H72" s="27"/>
      <c r="I72" s="27"/>
      <c r="J72" s="354" t="s">
        <v>52</v>
      </c>
      <c r="K72" s="27"/>
      <c r="L72" s="27"/>
      <c r="M72" s="27"/>
      <c r="N72" s="27"/>
      <c r="O72" s="27"/>
      <c r="P72" s="27"/>
      <c r="Q72" s="27"/>
      <c r="R72" s="27"/>
      <c r="S72" s="27"/>
      <c r="T72" s="27"/>
      <c r="U72" s="27"/>
      <c r="V72" s="27"/>
      <c r="W72" s="27"/>
      <c r="X72" s="27"/>
      <c r="Y72" s="27"/>
    </row>
    <row r="73" spans="1:85" x14ac:dyDescent="0.2">
      <c r="A73" s="12"/>
      <c r="B73" s="12"/>
      <c r="C73" s="200"/>
      <c r="D73" s="8"/>
      <c r="E73" s="8"/>
      <c r="F73" s="27"/>
      <c r="G73" s="27"/>
      <c r="H73" s="27"/>
      <c r="I73" s="27"/>
      <c r="J73" s="354" t="s">
        <v>52</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54" t="s">
        <v>52</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54"/>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53" t="s">
        <v>52</v>
      </c>
      <c r="K76" s="28"/>
      <c r="L76" s="28"/>
      <c r="M76" s="28"/>
      <c r="N76" s="28"/>
      <c r="O76" s="28"/>
      <c r="P76" s="28"/>
      <c r="Q76" s="28"/>
      <c r="R76" s="28"/>
      <c r="S76" s="28"/>
      <c r="T76" s="28"/>
      <c r="U76" s="28"/>
      <c r="V76" s="28"/>
      <c r="W76" s="28"/>
      <c r="X76" s="28"/>
      <c r="Y76" s="28"/>
    </row>
    <row r="77" spans="1:85" s="9" customFormat="1" ht="11.25" customHeight="1" x14ac:dyDescent="0.15">
      <c r="A77" s="199"/>
      <c r="B77" s="12"/>
      <c r="C77" s="12"/>
      <c r="D77" s="12"/>
      <c r="E77" s="12"/>
      <c r="F77" s="24"/>
      <c r="G77" s="24"/>
      <c r="H77" s="24"/>
      <c r="I77" s="24"/>
      <c r="J77" s="353" t="s">
        <v>52</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52" t="s">
        <v>52</v>
      </c>
      <c r="K78" s="27"/>
      <c r="L78" s="27"/>
      <c r="M78" s="27"/>
      <c r="N78" s="27"/>
      <c r="O78" s="27"/>
      <c r="P78" s="27"/>
      <c r="Q78" s="27"/>
      <c r="R78" s="27"/>
      <c r="S78" s="27"/>
      <c r="T78" s="27"/>
      <c r="U78" s="27"/>
      <c r="V78" s="27"/>
      <c r="W78" s="27"/>
      <c r="X78" s="27"/>
      <c r="Y78" s="27"/>
    </row>
    <row r="79" spans="1:85" x14ac:dyDescent="0.2">
      <c r="F79" s="27"/>
      <c r="G79" s="27"/>
      <c r="H79" s="27"/>
      <c r="I79" s="27"/>
      <c r="J79" s="353" t="s">
        <v>52</v>
      </c>
      <c r="K79" s="27"/>
      <c r="L79" s="27"/>
      <c r="M79" s="27"/>
      <c r="N79" s="27"/>
      <c r="O79" s="27"/>
      <c r="P79" s="27"/>
      <c r="Q79" s="27"/>
      <c r="R79" s="27"/>
      <c r="S79" s="27"/>
      <c r="T79" s="27"/>
      <c r="U79" s="27"/>
      <c r="V79" s="27"/>
      <c r="W79" s="27"/>
      <c r="X79" s="27"/>
      <c r="Y79" s="27"/>
    </row>
    <row r="80" spans="1:85" x14ac:dyDescent="0.2">
      <c r="F80" s="29"/>
      <c r="G80" s="29"/>
      <c r="H80" s="29"/>
      <c r="I80" s="29"/>
      <c r="J80" s="353" t="s">
        <v>52</v>
      </c>
      <c r="K80" s="29"/>
      <c r="L80" s="29"/>
      <c r="M80" s="29"/>
      <c r="N80" s="29"/>
      <c r="O80" s="29"/>
      <c r="P80" s="29"/>
      <c r="Q80" s="29"/>
      <c r="R80" s="29"/>
      <c r="S80" s="29"/>
      <c r="T80" s="29"/>
      <c r="U80" s="29"/>
      <c r="V80" s="29"/>
      <c r="W80" s="29"/>
      <c r="X80" s="29"/>
      <c r="Y80" s="29"/>
    </row>
    <row r="81" spans="1:25" x14ac:dyDescent="0.2">
      <c r="F81" s="27"/>
      <c r="G81" s="27"/>
      <c r="H81" s="27"/>
      <c r="I81" s="27"/>
      <c r="J81" s="353" t="s">
        <v>52</v>
      </c>
      <c r="K81" s="27"/>
      <c r="L81" s="27"/>
      <c r="M81" s="27"/>
      <c r="N81" s="27"/>
      <c r="O81" s="27"/>
      <c r="P81" s="27"/>
      <c r="Q81" s="27"/>
      <c r="R81" s="27"/>
      <c r="S81" s="27"/>
      <c r="T81" s="27"/>
      <c r="U81" s="27"/>
      <c r="V81" s="27"/>
      <c r="W81" s="27"/>
      <c r="X81" s="27"/>
      <c r="Y81" s="27"/>
    </row>
    <row r="82" spans="1:25" x14ac:dyDescent="0.2">
      <c r="J82" s="353" t="s">
        <v>52</v>
      </c>
    </row>
    <row r="83" spans="1:25" x14ac:dyDescent="0.2">
      <c r="J83" s="353" t="s">
        <v>52</v>
      </c>
    </row>
    <row r="84" spans="1:25" x14ac:dyDescent="0.2">
      <c r="C84" s="3" t="s">
        <v>225</v>
      </c>
      <c r="J84" s="352" t="s">
        <v>52</v>
      </c>
      <c r="M84" s="3" t="s">
        <v>226</v>
      </c>
    </row>
    <row r="85" spans="1:25" x14ac:dyDescent="0.2">
      <c r="J85" s="353" t="s">
        <v>52</v>
      </c>
    </row>
    <row r="86" spans="1:25" x14ac:dyDescent="0.2">
      <c r="J86" s="353" t="s">
        <v>52</v>
      </c>
    </row>
    <row r="87" spans="1:25" x14ac:dyDescent="0.2">
      <c r="J87" s="353" t="s">
        <v>52</v>
      </c>
    </row>
    <row r="88" spans="1:25" x14ac:dyDescent="0.2">
      <c r="A88" s="3"/>
      <c r="D88" s="3"/>
      <c r="E88" s="3"/>
      <c r="J88" s="353" t="s">
        <v>52</v>
      </c>
    </row>
    <row r="89" spans="1:25" x14ac:dyDescent="0.2">
      <c r="J89" s="353" t="s">
        <v>52</v>
      </c>
    </row>
    <row r="90" spans="1:25" x14ac:dyDescent="0.2">
      <c r="J90" s="353" t="s">
        <v>52</v>
      </c>
    </row>
    <row r="91" spans="1:25" x14ac:dyDescent="0.2">
      <c r="J91" s="353" t="s">
        <v>52</v>
      </c>
    </row>
    <row r="92" spans="1:25" x14ac:dyDescent="0.2">
      <c r="J92" s="353" t="s">
        <v>52</v>
      </c>
    </row>
    <row r="93" spans="1:25" x14ac:dyDescent="0.2">
      <c r="J93" s="353" t="s">
        <v>52</v>
      </c>
    </row>
    <row r="94" spans="1:25" x14ac:dyDescent="0.2">
      <c r="F94" s="3"/>
      <c r="G94" s="3"/>
      <c r="H94" s="3"/>
      <c r="I94" s="3"/>
      <c r="J94" s="354" t="s">
        <v>52</v>
      </c>
      <c r="K94" s="3"/>
      <c r="L94" s="3"/>
      <c r="M94" s="3"/>
      <c r="N94" s="3"/>
      <c r="O94" s="3"/>
      <c r="P94" s="3"/>
      <c r="Q94" s="3"/>
      <c r="R94" s="3"/>
      <c r="S94" s="3"/>
      <c r="T94" s="3"/>
      <c r="U94" s="3"/>
      <c r="V94" s="3"/>
      <c r="W94" s="3"/>
      <c r="X94" s="4"/>
      <c r="Y94" s="3"/>
    </row>
    <row r="95" spans="1:25" x14ac:dyDescent="0.2">
      <c r="J95" s="354" t="s">
        <v>52</v>
      </c>
    </row>
    <row r="96" spans="1:25" x14ac:dyDescent="0.2">
      <c r="J96" s="354"/>
    </row>
    <row r="97" spans="3:28" x14ac:dyDescent="0.2">
      <c r="J97" s="354"/>
    </row>
    <row r="104" spans="3:28" ht="15" x14ac:dyDescent="0.25">
      <c r="D104" s="133"/>
      <c r="E104" s="133"/>
      <c r="F104" s="134"/>
      <c r="G104" s="135"/>
      <c r="H104" s="134"/>
      <c r="I104" s="133"/>
      <c r="J104" s="134"/>
      <c r="K104" s="133"/>
      <c r="L104" s="134"/>
      <c r="M104" s="133"/>
      <c r="N104" s="134"/>
      <c r="O104" s="133"/>
      <c r="P104" s="134"/>
      <c r="Q104"/>
      <c r="R104"/>
      <c r="S104"/>
      <c r="T104"/>
      <c r="U104"/>
      <c r="V104"/>
      <c r="W104"/>
      <c r="X104" s="166"/>
      <c r="Y104"/>
      <c r="Z104"/>
      <c r="AA104"/>
      <c r="AB104"/>
    </row>
    <row r="112" spans="3:28" x14ac:dyDescent="0.2">
      <c r="C112" s="3" t="s">
        <v>229</v>
      </c>
      <c r="M112" s="3"/>
    </row>
    <row r="178" spans="12:12" x14ac:dyDescent="0.2">
      <c r="L178" s="3" t="s">
        <v>239</v>
      </c>
    </row>
  </sheetData>
  <customSheetViews>
    <customSheetView guid="{09E562D2-D560-4B45-A29C-3521ECE58314}" scale="120">
      <pane xSplit="1" topLeftCell="B1" activePane="topRight" state="frozen"/>
      <selection pane="topRight" activeCell="A5" sqref="A5"/>
      <pageMargins left="0.78740157499999996" right="0.78740157499999996" top="0.984251969" bottom="0.984251969" header="0.4921259845" footer="0.4921259845"/>
      <pageSetup paperSize="9" scale="61" orientation="landscape" r:id="rId1"/>
      <headerFooter alignWithMargins="0"/>
    </customSheetView>
  </customSheetViews>
  <mergeCells count="12">
    <mergeCell ref="D29:E29"/>
    <mergeCell ref="D4:E4"/>
    <mergeCell ref="U2:W2"/>
    <mergeCell ref="A1:A2"/>
    <mergeCell ref="F1:I1"/>
    <mergeCell ref="K1:N1"/>
    <mergeCell ref="P1:S1"/>
    <mergeCell ref="B1:C1"/>
    <mergeCell ref="D1:E1"/>
    <mergeCell ref="B2:C2"/>
    <mergeCell ref="D2:E2"/>
    <mergeCell ref="B29:C29"/>
  </mergeCells>
  <phoneticPr fontId="3" type="noConversion"/>
  <conditionalFormatting sqref="F49:I49 K49:N49 P49:S49 Z49:AB49 AE49:AG49 AJ49:AL49 AO49:AQ49 AY49:BA49 BD49:BF49 BI49:BK49 BN49:BP49 BS49:BU49 BX49:BZ49 CC49:CE49">
    <cfRule type="cellIs" dxfId="35" priority="5" operator="lessThan">
      <formula>0</formula>
    </cfRule>
    <cfRule type="cellIs" dxfId="34" priority="6" operator="greaterThan">
      <formula>0</formula>
    </cfRule>
  </conditionalFormatting>
  <conditionalFormatting sqref="F49:I49 K49:N49 P49:S49 Z49:AB49 AE49:AG49 AJ49:AL49 AO49:AQ49 AY49:BA49 BD49:BF49 BI49:BK49 BN49:BP49 BS49:BU49 BX49:BZ49 CC49:CE49 AT49:AV49">
    <cfRule type="cellIs" dxfId="33" priority="3" operator="lessThan">
      <formula>0</formula>
    </cfRule>
    <cfRule type="cellIs" dxfId="32" priority="4" operator="greaterThan">
      <formula>0</formula>
    </cfRule>
  </conditionalFormatting>
  <conditionalFormatting sqref="U49:W49">
    <cfRule type="cellIs" dxfId="31" priority="1" operator="lessThan">
      <formula>0</formula>
    </cfRule>
    <cfRule type="cellIs" dxfId="30" priority="2" operator="greaterThan">
      <formula>0</formula>
    </cfRule>
  </conditionalFormatting>
  <pageMargins left="0.78740157499999996" right="0.78740157499999996" top="0.984251969" bottom="0.984251969" header="0.4921259845" footer="0.4921259845"/>
  <pageSetup paperSize="9" scale="61" orientation="landscape" r:id="rId2"/>
  <headerFooter alignWithMargins="0"/>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86"/>
  <sheetViews>
    <sheetView zoomScaleNormal="100" workbookViewId="0">
      <selection activeCell="U32" sqref="U32"/>
    </sheetView>
  </sheetViews>
  <sheetFormatPr baseColWidth="10" defaultRowHeight="12.75" x14ac:dyDescent="0.2"/>
  <cols>
    <col min="1" max="1" width="3" customWidth="1"/>
    <col min="3" max="3" width="9.28515625" customWidth="1"/>
    <col min="4" max="4" width="6.42578125" style="180" customWidth="1"/>
    <col min="5" max="5" width="9.28515625" customWidth="1"/>
    <col min="6" max="6" width="6.42578125" style="180" customWidth="1"/>
    <col min="7" max="7" width="9.28515625" customWidth="1"/>
    <col min="8" max="8" width="6.42578125" style="180" customWidth="1"/>
    <col min="9" max="9" width="9.28515625" customWidth="1"/>
    <col min="10" max="10" width="6.42578125" style="180" customWidth="1"/>
    <col min="11" max="11" width="9.28515625" customWidth="1"/>
    <col min="12" max="12" width="6.42578125" style="180" customWidth="1"/>
    <col min="13" max="13" width="9.28515625" customWidth="1"/>
    <col min="14" max="14" width="6.42578125" style="180" customWidth="1"/>
    <col min="15" max="15" width="9.28515625" customWidth="1"/>
    <col min="16" max="16" width="6.42578125" style="187" customWidth="1"/>
    <col min="17" max="17" width="9.28515625" customWidth="1"/>
    <col min="18" max="18" width="6.42578125" style="187" customWidth="1"/>
    <col min="19" max="19" width="9.28515625" style="187" customWidth="1"/>
    <col min="20" max="20" width="6.42578125" style="187" customWidth="1"/>
    <col min="21" max="21" width="9.28515625" style="187" customWidth="1"/>
    <col min="22" max="22" width="6.42578125" style="187" customWidth="1"/>
    <col min="23" max="23" width="9.28515625" style="187" customWidth="1"/>
    <col min="24" max="24" width="6.42578125" style="187" customWidth="1"/>
    <col min="25" max="25" width="9.28515625" style="187" customWidth="1"/>
    <col min="26" max="26" width="6.42578125" style="187" customWidth="1"/>
    <col min="27" max="27" width="9.28515625" customWidth="1"/>
    <col min="28" max="28" width="6.42578125" customWidth="1"/>
  </cols>
  <sheetData>
    <row r="1" spans="2:48" ht="15" customHeight="1" thickBot="1" x14ac:dyDescent="0.25">
      <c r="K1" s="153"/>
      <c r="M1" s="153"/>
      <c r="Y1" s="729" t="s">
        <v>270</v>
      </c>
    </row>
    <row r="2" spans="2:48" ht="15" customHeight="1" x14ac:dyDescent="0.25">
      <c r="B2" s="665" t="s">
        <v>149</v>
      </c>
      <c r="C2" s="683" t="s">
        <v>23</v>
      </c>
      <c r="D2" s="684"/>
      <c r="E2" s="687" t="s">
        <v>24</v>
      </c>
      <c r="F2" s="688"/>
      <c r="G2" s="691" t="s">
        <v>28</v>
      </c>
      <c r="H2" s="692"/>
      <c r="I2" s="695" t="s">
        <v>25</v>
      </c>
      <c r="J2" s="696"/>
      <c r="K2" s="703" t="s">
        <v>27</v>
      </c>
      <c r="L2" s="704"/>
      <c r="M2" s="707" t="s">
        <v>26</v>
      </c>
      <c r="N2" s="708"/>
      <c r="O2" s="713" t="s">
        <v>41</v>
      </c>
      <c r="P2" s="714"/>
      <c r="Q2" s="711" t="s">
        <v>41</v>
      </c>
      <c r="R2" s="712"/>
      <c r="S2" s="667" t="s">
        <v>41</v>
      </c>
      <c r="T2" s="668"/>
      <c r="U2" s="669" t="s">
        <v>41</v>
      </c>
      <c r="V2" s="670"/>
      <c r="W2" s="671" t="s">
        <v>41</v>
      </c>
      <c r="X2" s="672"/>
      <c r="Y2" s="673" t="s">
        <v>41</v>
      </c>
      <c r="Z2" s="674"/>
      <c r="AA2" s="715" t="s">
        <v>41</v>
      </c>
      <c r="AB2" s="716"/>
      <c r="AD2" s="136"/>
      <c r="AE2" s="136"/>
      <c r="AF2" s="136"/>
      <c r="AG2" s="136"/>
      <c r="AH2" s="136"/>
      <c r="AI2" s="2"/>
      <c r="AJ2" s="2"/>
      <c r="AK2" s="2"/>
      <c r="AL2" s="2"/>
      <c r="AM2" s="2"/>
      <c r="AN2" s="2"/>
      <c r="AO2" s="2"/>
      <c r="AP2" s="2"/>
      <c r="AQ2" s="2"/>
      <c r="AR2" s="2"/>
      <c r="AS2" s="2"/>
      <c r="AT2" s="2"/>
      <c r="AU2" s="2"/>
      <c r="AV2" s="2"/>
    </row>
    <row r="3" spans="2:48" ht="15" customHeight="1" thickBot="1" x14ac:dyDescent="0.3">
      <c r="B3" s="666"/>
      <c r="C3" s="685"/>
      <c r="D3" s="686"/>
      <c r="E3" s="689"/>
      <c r="F3" s="690"/>
      <c r="G3" s="693"/>
      <c r="H3" s="694"/>
      <c r="I3" s="697"/>
      <c r="J3" s="698"/>
      <c r="K3" s="705"/>
      <c r="L3" s="706"/>
      <c r="M3" s="709"/>
      <c r="N3" s="710"/>
      <c r="O3" s="699" t="s">
        <v>150</v>
      </c>
      <c r="P3" s="700"/>
      <c r="Q3" s="701" t="s">
        <v>151</v>
      </c>
      <c r="R3" s="702"/>
      <c r="S3" s="675" t="s">
        <v>155</v>
      </c>
      <c r="T3" s="676"/>
      <c r="U3" s="677" t="s">
        <v>152</v>
      </c>
      <c r="V3" s="678"/>
      <c r="W3" s="679" t="s">
        <v>153</v>
      </c>
      <c r="X3" s="680"/>
      <c r="Y3" s="681" t="s">
        <v>59</v>
      </c>
      <c r="Z3" s="682"/>
      <c r="AA3" s="717" t="s">
        <v>154</v>
      </c>
      <c r="AB3" s="718"/>
      <c r="AD3" s="136"/>
      <c r="AE3" s="136"/>
      <c r="AF3" s="136"/>
      <c r="AG3" s="136"/>
      <c r="AH3" s="136"/>
      <c r="AI3" s="2"/>
      <c r="AJ3" s="2"/>
      <c r="AK3" s="2"/>
      <c r="AL3" s="2"/>
      <c r="AM3" s="2"/>
      <c r="AN3" s="2"/>
      <c r="AO3" s="2"/>
      <c r="AP3" s="2"/>
      <c r="AQ3" s="2"/>
      <c r="AR3" s="2"/>
      <c r="AS3" s="2"/>
      <c r="AT3" s="2"/>
      <c r="AU3" s="2"/>
      <c r="AV3" s="2"/>
    </row>
    <row r="4" spans="2:48" ht="15" customHeight="1" x14ac:dyDescent="0.25">
      <c r="B4" s="435">
        <v>2003</v>
      </c>
      <c r="C4" s="325">
        <v>0</v>
      </c>
      <c r="D4" s="328" t="s">
        <v>51</v>
      </c>
      <c r="E4" s="336">
        <v>0</v>
      </c>
      <c r="F4" s="328" t="s">
        <v>51</v>
      </c>
      <c r="G4" s="325">
        <v>0</v>
      </c>
      <c r="H4" s="328" t="s">
        <v>51</v>
      </c>
      <c r="I4" s="325">
        <v>0</v>
      </c>
      <c r="J4" s="328" t="s">
        <v>51</v>
      </c>
      <c r="K4" s="329">
        <v>1.0999999999999999E-2</v>
      </c>
      <c r="L4" s="328" t="s">
        <v>51</v>
      </c>
      <c r="M4" s="325">
        <v>0</v>
      </c>
      <c r="N4" s="328" t="s">
        <v>51</v>
      </c>
      <c r="O4" s="325">
        <v>0</v>
      </c>
      <c r="P4" s="326" t="s">
        <v>51</v>
      </c>
      <c r="Q4" s="325">
        <v>0</v>
      </c>
      <c r="R4" s="326" t="s">
        <v>51</v>
      </c>
      <c r="S4" s="438">
        <v>0</v>
      </c>
      <c r="T4" s="437" t="s">
        <v>51</v>
      </c>
      <c r="U4" s="438">
        <v>0</v>
      </c>
      <c r="V4" s="437" t="s">
        <v>51</v>
      </c>
      <c r="W4" s="438">
        <v>0</v>
      </c>
      <c r="X4" s="437" t="s">
        <v>51</v>
      </c>
      <c r="Y4" s="438">
        <v>0</v>
      </c>
      <c r="Z4" s="437" t="s">
        <v>51</v>
      </c>
      <c r="AA4" s="438">
        <v>0</v>
      </c>
      <c r="AB4" s="437" t="s">
        <v>51</v>
      </c>
      <c r="AI4" s="2"/>
      <c r="AJ4" s="2"/>
      <c r="AK4" s="2"/>
      <c r="AL4" s="2"/>
      <c r="AM4" s="2"/>
      <c r="AN4" s="2"/>
      <c r="AO4" s="2"/>
      <c r="AP4" s="2"/>
      <c r="AQ4" s="2"/>
      <c r="AR4" s="2"/>
      <c r="AS4" s="2"/>
      <c r="AT4" s="2"/>
      <c r="AU4" s="2"/>
      <c r="AV4" s="2"/>
    </row>
    <row r="5" spans="2:48" ht="15" customHeight="1" x14ac:dyDescent="0.25">
      <c r="B5" s="435">
        <v>2004</v>
      </c>
      <c r="C5" s="329">
        <v>1</v>
      </c>
      <c r="D5" s="328"/>
      <c r="E5" s="336">
        <v>0</v>
      </c>
      <c r="F5" s="328"/>
      <c r="G5" s="325">
        <v>0</v>
      </c>
      <c r="H5" s="328"/>
      <c r="I5" s="325">
        <v>0</v>
      </c>
      <c r="J5" s="328"/>
      <c r="K5" s="325">
        <v>1</v>
      </c>
      <c r="L5" s="328">
        <f>SUM((K5/K4)-1)</f>
        <v>89.909090909090921</v>
      </c>
      <c r="M5" s="325">
        <v>0</v>
      </c>
      <c r="N5" s="328"/>
      <c r="O5" s="325">
        <v>0</v>
      </c>
      <c r="P5" s="326"/>
      <c r="Q5" s="325">
        <v>0</v>
      </c>
      <c r="R5" s="326"/>
      <c r="S5" s="325">
        <v>0</v>
      </c>
      <c r="T5" s="326"/>
      <c r="U5" s="325">
        <v>0</v>
      </c>
      <c r="V5" s="326"/>
      <c r="W5" s="325">
        <v>0</v>
      </c>
      <c r="X5" s="326"/>
      <c r="Y5" s="325">
        <v>0</v>
      </c>
      <c r="Z5" s="326"/>
      <c r="AA5" s="325">
        <v>0</v>
      </c>
      <c r="AB5" s="326"/>
      <c r="AI5" s="2"/>
      <c r="AJ5" s="2"/>
      <c r="AK5" s="2"/>
      <c r="AL5" s="2"/>
      <c r="AM5" s="2"/>
      <c r="AN5" s="2"/>
      <c r="AO5" s="2"/>
      <c r="AP5" s="2"/>
      <c r="AQ5" s="2"/>
      <c r="AR5" s="2"/>
      <c r="AS5" s="2"/>
      <c r="AT5" s="2"/>
      <c r="AU5" s="2"/>
      <c r="AV5" s="2"/>
    </row>
    <row r="6" spans="2:48" ht="15" customHeight="1" x14ac:dyDescent="0.25">
      <c r="B6" s="435">
        <v>2005</v>
      </c>
      <c r="C6" s="325">
        <v>6</v>
      </c>
      <c r="D6" s="328">
        <f>SUM((C6/C5)-1)</f>
        <v>5</v>
      </c>
      <c r="E6" s="336">
        <v>0</v>
      </c>
      <c r="F6" s="328"/>
      <c r="G6" s="325">
        <v>0</v>
      </c>
      <c r="H6" s="328"/>
      <c r="I6" s="325">
        <v>0</v>
      </c>
      <c r="J6" s="328"/>
      <c r="K6" s="342">
        <v>4</v>
      </c>
      <c r="L6" s="328">
        <f t="shared" ref="L6:L16" si="0">SUM((K6/K5)-1)</f>
        <v>3</v>
      </c>
      <c r="M6" s="325">
        <v>0</v>
      </c>
      <c r="N6" s="328"/>
      <c r="O6" s="325">
        <v>0</v>
      </c>
      <c r="P6" s="326"/>
      <c r="Q6" s="325">
        <v>0</v>
      </c>
      <c r="R6" s="326"/>
      <c r="S6" s="325">
        <v>0</v>
      </c>
      <c r="T6" s="326"/>
      <c r="U6" s="325">
        <v>0</v>
      </c>
      <c r="V6" s="326"/>
      <c r="W6" s="325">
        <v>0</v>
      </c>
      <c r="X6" s="326"/>
      <c r="Y6" s="325">
        <v>0</v>
      </c>
      <c r="Z6" s="326"/>
      <c r="AA6" s="325">
        <v>0</v>
      </c>
      <c r="AB6" s="326"/>
      <c r="AI6" s="2"/>
      <c r="AJ6" s="2"/>
      <c r="AK6" s="2"/>
      <c r="AL6" s="2"/>
      <c r="AM6" s="2"/>
      <c r="AN6" s="2"/>
      <c r="AO6" s="2"/>
      <c r="AP6" s="2"/>
      <c r="AQ6" s="2"/>
      <c r="AR6" s="2"/>
      <c r="AS6" s="2"/>
      <c r="AT6" s="2"/>
      <c r="AU6" s="2"/>
      <c r="AV6" s="2"/>
    </row>
    <row r="7" spans="2:48" ht="15" customHeight="1" x14ac:dyDescent="0.25">
      <c r="B7" s="435">
        <v>2006</v>
      </c>
      <c r="C7" s="330">
        <v>12</v>
      </c>
      <c r="D7" s="328">
        <f t="shared" ref="D7:D18" si="1">SUM((C7/C6)-1)</f>
        <v>1</v>
      </c>
      <c r="E7" s="336">
        <v>0</v>
      </c>
      <c r="F7" s="328"/>
      <c r="G7" s="325">
        <v>0</v>
      </c>
      <c r="H7" s="328"/>
      <c r="I7" s="325">
        <v>0</v>
      </c>
      <c r="J7" s="328"/>
      <c r="K7" s="325">
        <v>8</v>
      </c>
      <c r="L7" s="328">
        <f t="shared" si="0"/>
        <v>1</v>
      </c>
      <c r="M7" s="329">
        <v>1.6E-2</v>
      </c>
      <c r="N7" s="328"/>
      <c r="O7" s="325">
        <v>0</v>
      </c>
      <c r="P7" s="326"/>
      <c r="Q7" s="325">
        <v>0</v>
      </c>
      <c r="R7" s="326"/>
      <c r="S7" s="325">
        <v>0</v>
      </c>
      <c r="T7" s="326"/>
      <c r="U7" s="325">
        <v>0</v>
      </c>
      <c r="V7" s="326"/>
      <c r="W7" s="325">
        <v>0</v>
      </c>
      <c r="X7" s="326"/>
      <c r="Y7" s="325">
        <v>0</v>
      </c>
      <c r="Z7" s="326"/>
      <c r="AA7" s="325">
        <v>0</v>
      </c>
      <c r="AB7" s="326"/>
      <c r="AI7" s="2"/>
      <c r="AJ7" s="2"/>
      <c r="AK7" s="2"/>
      <c r="AL7" s="2"/>
      <c r="AM7" s="2"/>
      <c r="AN7" s="2"/>
      <c r="AO7" s="2"/>
      <c r="AP7" s="2"/>
      <c r="AQ7" s="2"/>
      <c r="AR7" s="2"/>
      <c r="AS7" s="2"/>
      <c r="AT7" s="2"/>
      <c r="AU7" s="2"/>
      <c r="AV7" s="2"/>
    </row>
    <row r="8" spans="2:48" ht="15" customHeight="1" x14ac:dyDescent="0.25">
      <c r="B8" s="435">
        <v>2007</v>
      </c>
      <c r="C8" s="325">
        <v>58</v>
      </c>
      <c r="D8" s="328">
        <f t="shared" si="1"/>
        <v>3.833333333333333</v>
      </c>
      <c r="E8" s="336">
        <v>0</v>
      </c>
      <c r="F8" s="328"/>
      <c r="G8" s="325">
        <v>0</v>
      </c>
      <c r="H8" s="328"/>
      <c r="I8" s="325">
        <v>0</v>
      </c>
      <c r="J8" s="328"/>
      <c r="K8" s="331">
        <v>15</v>
      </c>
      <c r="L8" s="328">
        <f t="shared" si="0"/>
        <v>0.875</v>
      </c>
      <c r="M8" s="325">
        <v>0.70199999999999996</v>
      </c>
      <c r="N8" s="328">
        <f>SUM((M8/M7)-1)</f>
        <v>42.874999999999993</v>
      </c>
      <c r="O8" s="325">
        <v>0</v>
      </c>
      <c r="P8" s="326"/>
      <c r="Q8" s="325">
        <v>0</v>
      </c>
      <c r="R8" s="326"/>
      <c r="S8" s="325">
        <v>0</v>
      </c>
      <c r="T8" s="326"/>
      <c r="U8" s="325">
        <v>0</v>
      </c>
      <c r="V8" s="326"/>
      <c r="W8" s="325">
        <v>0</v>
      </c>
      <c r="X8" s="326"/>
      <c r="Y8" s="325">
        <v>0</v>
      </c>
      <c r="Z8" s="326"/>
      <c r="AA8" s="325">
        <v>0</v>
      </c>
      <c r="AB8" s="326"/>
      <c r="AI8" s="2"/>
      <c r="AJ8" s="2"/>
      <c r="AK8" s="2"/>
      <c r="AL8" s="2"/>
      <c r="AM8" s="2"/>
      <c r="AN8" s="2"/>
      <c r="AO8" s="2"/>
      <c r="AP8" s="2"/>
      <c r="AQ8" s="2"/>
      <c r="AR8" s="2"/>
      <c r="AS8" s="2"/>
      <c r="AT8" s="2"/>
      <c r="AU8" s="2"/>
      <c r="AV8" s="2"/>
    </row>
    <row r="9" spans="2:48" ht="15" customHeight="1" x14ac:dyDescent="0.25">
      <c r="B9" s="435">
        <v>2008</v>
      </c>
      <c r="C9" s="331">
        <v>145</v>
      </c>
      <c r="D9" s="328">
        <f t="shared" si="1"/>
        <v>1.5</v>
      </c>
      <c r="E9" s="337">
        <v>0.01</v>
      </c>
      <c r="F9" s="328"/>
      <c r="G9" s="325">
        <v>0</v>
      </c>
      <c r="H9" s="328"/>
      <c r="I9" s="325">
        <v>0</v>
      </c>
      <c r="J9" s="328"/>
      <c r="K9" s="331">
        <v>33</v>
      </c>
      <c r="L9" s="328">
        <f t="shared" si="0"/>
        <v>1.2000000000000002</v>
      </c>
      <c r="M9" s="330">
        <v>4</v>
      </c>
      <c r="N9" s="328">
        <f t="shared" ref="N9:N17" si="2">SUM((M9/M8)-1)</f>
        <v>4.6980056980056988</v>
      </c>
      <c r="O9" s="325">
        <v>0</v>
      </c>
      <c r="P9" s="326"/>
      <c r="Q9" s="325">
        <v>0</v>
      </c>
      <c r="R9" s="326"/>
      <c r="S9" s="325">
        <v>0</v>
      </c>
      <c r="T9" s="326"/>
      <c r="U9" s="325">
        <v>0</v>
      </c>
      <c r="V9" s="326"/>
      <c r="W9" s="325">
        <v>0</v>
      </c>
      <c r="X9" s="326"/>
      <c r="Y9" s="325">
        <v>0</v>
      </c>
      <c r="Z9" s="326"/>
      <c r="AA9" s="325">
        <v>0</v>
      </c>
      <c r="AB9" s="326"/>
      <c r="AI9" s="2"/>
      <c r="AJ9" s="2"/>
      <c r="AK9" s="2"/>
      <c r="AL9" s="2"/>
      <c r="AM9" s="2"/>
      <c r="AN9" s="2"/>
      <c r="AO9" s="2"/>
      <c r="AP9" s="2"/>
      <c r="AQ9" s="2"/>
      <c r="AR9" s="2"/>
      <c r="AS9" s="2"/>
      <c r="AT9" s="2"/>
      <c r="AU9" s="2"/>
      <c r="AV9" s="2"/>
    </row>
    <row r="10" spans="2:48" ht="15" customHeight="1" x14ac:dyDescent="0.25">
      <c r="B10" s="435">
        <v>2009</v>
      </c>
      <c r="C10" s="331">
        <v>360</v>
      </c>
      <c r="D10" s="328">
        <f t="shared" si="1"/>
        <v>1.4827586206896552</v>
      </c>
      <c r="E10" s="336">
        <v>0.25</v>
      </c>
      <c r="F10" s="328">
        <f>SUM((E10/E9)-1)</f>
        <v>24</v>
      </c>
      <c r="G10" s="325">
        <v>0</v>
      </c>
      <c r="H10" s="328"/>
      <c r="I10" s="325">
        <v>0</v>
      </c>
      <c r="J10" s="328"/>
      <c r="K10" s="325">
        <v>50</v>
      </c>
      <c r="L10" s="328">
        <f t="shared" si="0"/>
        <v>0.51515151515151514</v>
      </c>
      <c r="M10" s="325">
        <v>18</v>
      </c>
      <c r="N10" s="328">
        <f t="shared" si="2"/>
        <v>3.5</v>
      </c>
      <c r="O10" s="325">
        <v>0</v>
      </c>
      <c r="P10" s="326"/>
      <c r="Q10" s="325">
        <v>0</v>
      </c>
      <c r="R10" s="326"/>
      <c r="S10" s="325">
        <v>0</v>
      </c>
      <c r="T10" s="326"/>
      <c r="U10" s="325">
        <v>0</v>
      </c>
      <c r="V10" s="326"/>
      <c r="W10" s="325">
        <v>0</v>
      </c>
      <c r="X10" s="326"/>
      <c r="Y10" s="325">
        <v>0</v>
      </c>
      <c r="Z10" s="326"/>
      <c r="AA10" s="325">
        <v>0</v>
      </c>
      <c r="AB10" s="326"/>
      <c r="AI10" s="2"/>
      <c r="AJ10" s="2"/>
      <c r="AK10" s="2"/>
      <c r="AL10" s="2"/>
      <c r="AM10" s="2"/>
      <c r="AN10" s="2"/>
      <c r="AO10" s="2"/>
      <c r="AP10" s="2"/>
      <c r="AQ10" s="2"/>
      <c r="AR10" s="2"/>
      <c r="AS10" s="2"/>
      <c r="AT10" s="2"/>
      <c r="AU10" s="2"/>
      <c r="AV10" s="2"/>
    </row>
    <row r="11" spans="2:48" ht="15" customHeight="1" x14ac:dyDescent="0.25">
      <c r="B11" s="435">
        <v>2010</v>
      </c>
      <c r="C11" s="332">
        <v>608</v>
      </c>
      <c r="D11" s="328">
        <f t="shared" si="1"/>
        <v>0.68888888888888888</v>
      </c>
      <c r="E11" s="338">
        <v>5</v>
      </c>
      <c r="F11" s="328">
        <f t="shared" ref="F11:F18" si="3">SUM((E11/E10)-1)</f>
        <v>19</v>
      </c>
      <c r="G11" s="325">
        <v>0</v>
      </c>
      <c r="H11" s="328"/>
      <c r="I11" s="329">
        <v>1</v>
      </c>
      <c r="J11" s="328"/>
      <c r="K11" s="325">
        <v>75</v>
      </c>
      <c r="L11" s="328">
        <f t="shared" si="0"/>
        <v>0.5</v>
      </c>
      <c r="M11" s="331">
        <v>54</v>
      </c>
      <c r="N11" s="328">
        <f t="shared" si="2"/>
        <v>2</v>
      </c>
      <c r="O11" s="325">
        <v>0</v>
      </c>
      <c r="P11" s="326"/>
      <c r="Q11" s="325">
        <v>0</v>
      </c>
      <c r="R11" s="326"/>
      <c r="S11" s="325">
        <v>0</v>
      </c>
      <c r="T11" s="326"/>
      <c r="U11" s="325">
        <v>0</v>
      </c>
      <c r="V11" s="326"/>
      <c r="W11" s="325">
        <v>0</v>
      </c>
      <c r="X11" s="326"/>
      <c r="Y11" s="325">
        <v>0</v>
      </c>
      <c r="Z11" s="326"/>
      <c r="AA11" s="325">
        <v>0</v>
      </c>
      <c r="AB11" s="326"/>
      <c r="AI11" s="2"/>
      <c r="AJ11" s="2"/>
      <c r="AK11" s="2"/>
      <c r="AL11" s="2"/>
      <c r="AM11" s="2"/>
      <c r="AN11" s="2"/>
      <c r="AO11" s="2"/>
      <c r="AP11" s="2"/>
      <c r="AQ11" s="2"/>
      <c r="AR11" s="2"/>
      <c r="AS11" s="2"/>
      <c r="AT11" s="2"/>
      <c r="AU11" s="2"/>
      <c r="AV11" s="2"/>
    </row>
    <row r="12" spans="2:48" ht="15" customHeight="1" x14ac:dyDescent="0.25">
      <c r="B12" s="435">
        <v>2011</v>
      </c>
      <c r="C12" s="325">
        <v>845</v>
      </c>
      <c r="D12" s="328">
        <f t="shared" si="1"/>
        <v>0.38980263157894735</v>
      </c>
      <c r="E12" s="361">
        <v>35</v>
      </c>
      <c r="F12" s="328">
        <f t="shared" si="3"/>
        <v>6</v>
      </c>
      <c r="G12" s="329">
        <v>50</v>
      </c>
      <c r="H12" s="328"/>
      <c r="I12" s="325">
        <v>10</v>
      </c>
      <c r="J12" s="328">
        <f>SUM((I12/I11)-1)</f>
        <v>9</v>
      </c>
      <c r="K12" s="325">
        <v>135</v>
      </c>
      <c r="L12" s="328">
        <f t="shared" si="0"/>
        <v>0.8</v>
      </c>
      <c r="M12" s="331">
        <v>117</v>
      </c>
      <c r="N12" s="328">
        <f t="shared" si="2"/>
        <v>1.1666666666666665</v>
      </c>
      <c r="O12" s="325">
        <v>0</v>
      </c>
      <c r="P12" s="326"/>
      <c r="Q12" s="325">
        <v>0</v>
      </c>
      <c r="R12" s="326"/>
      <c r="S12" s="325">
        <v>0</v>
      </c>
      <c r="T12" s="326"/>
      <c r="U12" s="325">
        <v>0</v>
      </c>
      <c r="V12" s="326"/>
      <c r="W12" s="325">
        <v>0</v>
      </c>
      <c r="X12" s="326"/>
      <c r="Y12" s="325">
        <v>0</v>
      </c>
      <c r="Z12" s="326"/>
      <c r="AA12" s="325">
        <v>0</v>
      </c>
      <c r="AB12" s="326"/>
      <c r="AI12" s="2"/>
      <c r="AJ12" s="2"/>
      <c r="AK12" s="2"/>
      <c r="AL12" s="2"/>
      <c r="AM12" s="2"/>
      <c r="AN12" s="2"/>
      <c r="AO12" s="2"/>
      <c r="AP12" s="2"/>
      <c r="AQ12" s="2"/>
      <c r="AR12" s="2"/>
      <c r="AS12" s="2"/>
      <c r="AT12" s="2"/>
      <c r="AU12" s="2"/>
      <c r="AV12" s="2"/>
    </row>
    <row r="13" spans="2:48" ht="15" customHeight="1" x14ac:dyDescent="0.25">
      <c r="B13" s="435">
        <v>2012</v>
      </c>
      <c r="C13" s="325">
        <v>1056</v>
      </c>
      <c r="D13" s="328">
        <f t="shared" si="1"/>
        <v>0.24970414201183422</v>
      </c>
      <c r="E13" s="339">
        <v>150</v>
      </c>
      <c r="F13" s="328">
        <f t="shared" si="3"/>
        <v>3.2857142857142856</v>
      </c>
      <c r="G13" s="331">
        <v>160</v>
      </c>
      <c r="H13" s="343">
        <f>SUM((G13/G12)-1)</f>
        <v>2.2000000000000002</v>
      </c>
      <c r="I13" s="330">
        <v>80</v>
      </c>
      <c r="J13" s="328">
        <f t="shared" ref="J13:J18" si="4">SUM((I13/I12)-1)</f>
        <v>7</v>
      </c>
      <c r="K13" s="332">
        <v>202</v>
      </c>
      <c r="L13" s="328">
        <f t="shared" si="0"/>
        <v>0.49629629629629624</v>
      </c>
      <c r="M13" s="332">
        <v>185</v>
      </c>
      <c r="N13" s="328">
        <f t="shared" si="2"/>
        <v>0.58119658119658113</v>
      </c>
      <c r="O13" s="325">
        <v>0</v>
      </c>
      <c r="P13" s="326"/>
      <c r="Q13" s="325">
        <v>0</v>
      </c>
      <c r="R13" s="326"/>
      <c r="S13" s="325">
        <v>0</v>
      </c>
      <c r="T13" s="326"/>
      <c r="U13" s="325">
        <v>0</v>
      </c>
      <c r="V13" s="326"/>
      <c r="W13" s="325">
        <v>0</v>
      </c>
      <c r="X13" s="326"/>
      <c r="Y13" s="325">
        <v>0</v>
      </c>
      <c r="Z13" s="326"/>
      <c r="AA13" s="325">
        <v>0</v>
      </c>
      <c r="AB13" s="326"/>
      <c r="AI13" s="2"/>
      <c r="AJ13" s="2"/>
      <c r="AK13" s="2"/>
      <c r="AL13" s="2"/>
      <c r="AM13" s="2"/>
      <c r="AN13" s="2"/>
      <c r="AO13" s="2"/>
      <c r="AP13" s="2"/>
      <c r="AQ13" s="2"/>
      <c r="AR13" s="2"/>
      <c r="AS13" s="2"/>
      <c r="AT13" s="2"/>
      <c r="AU13" s="2"/>
      <c r="AV13" s="2"/>
    </row>
    <row r="14" spans="2:48" ht="15" customHeight="1" x14ac:dyDescent="0.25">
      <c r="B14" s="435">
        <v>2013</v>
      </c>
      <c r="C14" s="325">
        <v>1230</v>
      </c>
      <c r="D14" s="328">
        <f t="shared" si="1"/>
        <v>0.16477272727272729</v>
      </c>
      <c r="E14" s="339">
        <v>400</v>
      </c>
      <c r="F14" s="328">
        <f t="shared" si="3"/>
        <v>1.6666666666666665</v>
      </c>
      <c r="G14" s="350">
        <v>355</v>
      </c>
      <c r="H14" s="343">
        <f t="shared" ref="H14:H18" si="5">SUM((G14/G13)-1)</f>
        <v>1.21875</v>
      </c>
      <c r="I14" s="325">
        <v>150</v>
      </c>
      <c r="J14" s="328">
        <f t="shared" si="4"/>
        <v>0.875</v>
      </c>
      <c r="K14" s="325">
        <v>277</v>
      </c>
      <c r="L14" s="328">
        <f t="shared" si="0"/>
        <v>0.37128712871287139</v>
      </c>
      <c r="M14" s="325">
        <v>241</v>
      </c>
      <c r="N14" s="328">
        <f t="shared" si="2"/>
        <v>0.30270270270270272</v>
      </c>
      <c r="O14" s="325">
        <v>0</v>
      </c>
      <c r="P14" s="326"/>
      <c r="Q14" s="325">
        <v>0</v>
      </c>
      <c r="R14" s="326"/>
      <c r="S14" s="325">
        <v>0</v>
      </c>
      <c r="T14" s="326"/>
      <c r="U14" s="325">
        <v>0</v>
      </c>
      <c r="V14" s="326"/>
      <c r="W14" s="325">
        <v>0</v>
      </c>
      <c r="X14" s="326"/>
      <c r="Y14" s="325">
        <v>0</v>
      </c>
      <c r="Z14" s="326"/>
      <c r="AA14" s="325">
        <v>0</v>
      </c>
      <c r="AB14" s="326"/>
      <c r="AI14" s="2"/>
      <c r="AJ14" s="2"/>
      <c r="AK14" s="2"/>
      <c r="AL14" s="2"/>
      <c r="AM14" s="2"/>
      <c r="AN14" s="2"/>
      <c r="AO14" s="2"/>
      <c r="AP14" s="2"/>
      <c r="AQ14" s="2"/>
      <c r="AR14" s="2"/>
      <c r="AS14" s="2"/>
      <c r="AT14" s="2"/>
      <c r="AU14" s="2"/>
      <c r="AV14" s="2"/>
    </row>
    <row r="15" spans="2:48" ht="15" customHeight="1" x14ac:dyDescent="0.25">
      <c r="B15" s="435">
        <v>2014</v>
      </c>
      <c r="C15" s="325">
        <v>1393</v>
      </c>
      <c r="D15" s="328">
        <f t="shared" si="1"/>
        <v>0.13252032520325208</v>
      </c>
      <c r="E15" s="339">
        <v>600</v>
      </c>
      <c r="F15" s="328">
        <f t="shared" si="3"/>
        <v>0.5</v>
      </c>
      <c r="G15" s="332">
        <v>500</v>
      </c>
      <c r="H15" s="343">
        <f t="shared" si="5"/>
        <v>0.40845070422535201</v>
      </c>
      <c r="I15" s="331">
        <v>300</v>
      </c>
      <c r="J15" s="328">
        <f t="shared" si="4"/>
        <v>1</v>
      </c>
      <c r="K15" s="325">
        <v>347</v>
      </c>
      <c r="L15" s="328">
        <f t="shared" si="0"/>
        <v>0.25270758122743686</v>
      </c>
      <c r="M15" s="325">
        <v>288</v>
      </c>
      <c r="N15" s="328">
        <f t="shared" si="2"/>
        <v>0.19502074688796678</v>
      </c>
      <c r="O15" s="325">
        <v>0</v>
      </c>
      <c r="P15" s="326"/>
      <c r="Q15" s="325">
        <v>0</v>
      </c>
      <c r="R15" s="326"/>
      <c r="S15" s="325">
        <v>0</v>
      </c>
      <c r="T15" s="326"/>
      <c r="U15" s="325">
        <v>0</v>
      </c>
      <c r="V15" s="326"/>
      <c r="W15" s="325">
        <v>0</v>
      </c>
      <c r="X15" s="326"/>
      <c r="Y15" s="325">
        <v>0</v>
      </c>
      <c r="Z15" s="326"/>
      <c r="AA15" s="325">
        <v>0</v>
      </c>
      <c r="AB15" s="326"/>
      <c r="AI15" s="2"/>
      <c r="AJ15" s="2"/>
      <c r="AK15" s="2"/>
      <c r="AL15" s="2"/>
      <c r="AM15" s="2"/>
      <c r="AN15" s="2"/>
      <c r="AO15" s="2"/>
      <c r="AP15" s="2"/>
      <c r="AQ15" s="2"/>
      <c r="AR15" s="2"/>
      <c r="AS15" s="2"/>
      <c r="AT15" s="2"/>
      <c r="AU15" s="2"/>
      <c r="AV15" s="2"/>
    </row>
    <row r="16" spans="2:48" ht="15" customHeight="1" x14ac:dyDescent="0.25">
      <c r="B16" s="435">
        <v>2015</v>
      </c>
      <c r="C16" s="325">
        <v>1591</v>
      </c>
      <c r="D16" s="328">
        <f t="shared" si="1"/>
        <v>0.14213926776740848</v>
      </c>
      <c r="E16" s="340">
        <v>900</v>
      </c>
      <c r="F16" s="328">
        <f t="shared" si="3"/>
        <v>0.5</v>
      </c>
      <c r="G16" s="331">
        <v>697</v>
      </c>
      <c r="H16" s="343">
        <f t="shared" si="5"/>
        <v>0.39399999999999991</v>
      </c>
      <c r="I16" s="331">
        <v>400</v>
      </c>
      <c r="J16" s="328">
        <f t="shared" si="4"/>
        <v>0.33333333333333326</v>
      </c>
      <c r="K16" s="325">
        <v>414</v>
      </c>
      <c r="L16" s="328">
        <f t="shared" si="0"/>
        <v>0.19308357348703176</v>
      </c>
      <c r="M16" s="325">
        <v>305</v>
      </c>
      <c r="N16" s="328">
        <f t="shared" si="2"/>
        <v>5.9027777777777679E-2</v>
      </c>
      <c r="O16" s="325">
        <v>0</v>
      </c>
      <c r="P16" s="326"/>
      <c r="Q16" s="325">
        <v>0</v>
      </c>
      <c r="R16" s="326"/>
      <c r="S16" s="325">
        <v>0</v>
      </c>
      <c r="T16" s="326"/>
      <c r="U16" s="325">
        <v>0</v>
      </c>
      <c r="V16" s="326"/>
      <c r="W16" s="325">
        <v>0</v>
      </c>
      <c r="X16" s="326"/>
      <c r="Y16" s="325">
        <v>0</v>
      </c>
      <c r="Z16" s="326"/>
      <c r="AA16" s="325">
        <v>0</v>
      </c>
      <c r="AB16" s="326"/>
      <c r="AI16" s="2"/>
      <c r="AJ16" s="2"/>
      <c r="AK16" s="2"/>
      <c r="AL16" s="2"/>
      <c r="AM16" s="2"/>
      <c r="AN16" s="2"/>
      <c r="AO16" s="2"/>
      <c r="AP16" s="2"/>
      <c r="AQ16" s="2"/>
      <c r="AR16" s="2"/>
      <c r="AS16" s="2"/>
      <c r="AT16" s="2"/>
      <c r="AU16" s="2"/>
      <c r="AV16" s="2"/>
    </row>
    <row r="17" spans="2:48" ht="15" customHeight="1" x14ac:dyDescent="0.25">
      <c r="B17" s="435">
        <v>2016</v>
      </c>
      <c r="C17" s="325">
        <v>1860</v>
      </c>
      <c r="D17" s="328">
        <f t="shared" si="1"/>
        <v>0.16907605279698301</v>
      </c>
      <c r="E17" s="336">
        <v>1150</v>
      </c>
      <c r="F17" s="328">
        <f t="shared" si="3"/>
        <v>0.27777777777777768</v>
      </c>
      <c r="G17" s="325">
        <v>889</v>
      </c>
      <c r="H17" s="343">
        <f t="shared" si="5"/>
        <v>0.27546628407460538</v>
      </c>
      <c r="I17" s="332">
        <v>600</v>
      </c>
      <c r="J17" s="328">
        <f t="shared" si="4"/>
        <v>0.5</v>
      </c>
      <c r="K17" s="325"/>
      <c r="L17" s="328"/>
      <c r="M17" s="325">
        <v>319</v>
      </c>
      <c r="N17" s="328">
        <f t="shared" si="2"/>
        <v>4.590163934426239E-2</v>
      </c>
      <c r="O17" s="325">
        <v>0</v>
      </c>
      <c r="P17" s="326"/>
      <c r="Q17" s="325">
        <v>0</v>
      </c>
      <c r="R17" s="326"/>
      <c r="S17" s="325">
        <v>0</v>
      </c>
      <c r="T17" s="326"/>
      <c r="U17" s="325">
        <v>0</v>
      </c>
      <c r="V17" s="326"/>
      <c r="W17" s="325">
        <v>0</v>
      </c>
      <c r="X17" s="326"/>
      <c r="Y17" s="325">
        <v>0</v>
      </c>
      <c r="Z17" s="326"/>
      <c r="AA17" s="325">
        <v>0</v>
      </c>
      <c r="AB17" s="326"/>
      <c r="AI17" s="2"/>
      <c r="AJ17" s="2"/>
      <c r="AK17" s="2"/>
      <c r="AL17" s="2"/>
      <c r="AM17" s="2"/>
      <c r="AN17" s="2"/>
      <c r="AO17" s="2"/>
      <c r="AP17" s="2"/>
      <c r="AQ17" s="2"/>
      <c r="AR17" s="2"/>
      <c r="AS17" s="2"/>
      <c r="AT17" s="2"/>
      <c r="AU17" s="2"/>
      <c r="AV17" s="2"/>
    </row>
    <row r="18" spans="2:48" ht="15" customHeight="1" x14ac:dyDescent="0.25">
      <c r="B18" s="435">
        <v>2017</v>
      </c>
      <c r="C18" s="325">
        <v>2072</v>
      </c>
      <c r="D18" s="328">
        <f t="shared" si="1"/>
        <v>0.11397849462365595</v>
      </c>
      <c r="E18" s="336">
        <v>1300</v>
      </c>
      <c r="F18" s="328">
        <f t="shared" si="3"/>
        <v>0.13043478260869557</v>
      </c>
      <c r="G18" s="325">
        <v>980</v>
      </c>
      <c r="H18" s="343">
        <f t="shared" si="5"/>
        <v>0.10236220472440949</v>
      </c>
      <c r="I18" s="325">
        <v>800</v>
      </c>
      <c r="J18" s="328">
        <f t="shared" si="4"/>
        <v>0.33333333333333326</v>
      </c>
      <c r="K18" s="325"/>
      <c r="L18" s="328"/>
      <c r="M18" s="325"/>
      <c r="N18" s="328"/>
      <c r="O18" s="325">
        <v>0</v>
      </c>
      <c r="P18" s="326"/>
      <c r="Q18" s="325">
        <v>0</v>
      </c>
      <c r="R18" s="326"/>
      <c r="S18" s="325">
        <v>0</v>
      </c>
      <c r="T18" s="326"/>
      <c r="U18" s="325">
        <v>0</v>
      </c>
      <c r="V18" s="326"/>
      <c r="W18" s="325">
        <v>0</v>
      </c>
      <c r="X18" s="326"/>
      <c r="Y18" s="325">
        <v>0</v>
      </c>
      <c r="Z18" s="326"/>
      <c r="AA18" s="325">
        <v>0</v>
      </c>
      <c r="AB18" s="326"/>
      <c r="AI18" s="2"/>
      <c r="AJ18" s="2"/>
      <c r="AK18" s="2"/>
      <c r="AL18" s="2"/>
      <c r="AM18" s="2"/>
      <c r="AN18" s="2"/>
      <c r="AO18" s="2"/>
      <c r="AP18" s="2"/>
      <c r="AQ18" s="2"/>
      <c r="AR18" s="2"/>
      <c r="AS18" s="2"/>
      <c r="AT18" s="2"/>
      <c r="AU18" s="2"/>
      <c r="AV18" s="2"/>
    </row>
    <row r="19" spans="2:48" ht="15" customHeight="1" x14ac:dyDescent="0.25">
      <c r="B19" s="435">
        <v>2018</v>
      </c>
      <c r="C19" s="325"/>
      <c r="D19" s="328"/>
      <c r="E19" s="336"/>
      <c r="F19" s="328"/>
      <c r="G19" s="325"/>
      <c r="H19" s="343"/>
      <c r="I19" s="325"/>
      <c r="J19" s="328"/>
      <c r="K19" s="325"/>
      <c r="L19" s="328"/>
      <c r="M19" s="325"/>
      <c r="N19" s="328"/>
      <c r="O19" s="325">
        <v>0</v>
      </c>
      <c r="P19" s="326"/>
      <c r="Q19" s="325">
        <v>0</v>
      </c>
      <c r="R19" s="326"/>
      <c r="S19" s="325">
        <v>0</v>
      </c>
      <c r="T19" s="326"/>
      <c r="U19" s="325">
        <v>0</v>
      </c>
      <c r="V19" s="326"/>
      <c r="W19" s="325">
        <v>0</v>
      </c>
      <c r="X19" s="326"/>
      <c r="Y19" s="325">
        <v>0</v>
      </c>
      <c r="Z19" s="326"/>
      <c r="AA19" s="325">
        <v>0</v>
      </c>
      <c r="AB19" s="326"/>
      <c r="AI19" s="2"/>
      <c r="AJ19" s="2"/>
      <c r="AK19" s="2"/>
      <c r="AL19" s="2"/>
      <c r="AM19" s="2"/>
      <c r="AN19" s="2"/>
      <c r="AO19" s="2"/>
      <c r="AP19" s="2"/>
      <c r="AQ19" s="2"/>
      <c r="AR19" s="2"/>
      <c r="AS19" s="2"/>
      <c r="AT19" s="2"/>
      <c r="AU19" s="2"/>
      <c r="AV19" s="2"/>
    </row>
    <row r="20" spans="2:48" ht="15" customHeight="1" x14ac:dyDescent="0.25">
      <c r="B20" s="435">
        <v>2019</v>
      </c>
      <c r="C20" s="325"/>
      <c r="D20" s="328"/>
      <c r="E20" s="336"/>
      <c r="F20" s="328"/>
      <c r="G20" s="325"/>
      <c r="H20" s="328"/>
      <c r="I20" s="325"/>
      <c r="J20" s="328"/>
      <c r="K20" s="325"/>
      <c r="L20" s="328"/>
      <c r="M20" s="325"/>
      <c r="N20" s="328"/>
      <c r="O20" s="345">
        <f>SUM(('Result of your Estimation'!J18)/1000000)</f>
        <v>2.6787965261703416E-2</v>
      </c>
      <c r="P20" s="326"/>
      <c r="Q20" s="345">
        <f>SUM((Realistic!J18)/1000000)</f>
        <v>5.5007231534220366E-2</v>
      </c>
      <c r="R20" s="326"/>
      <c r="S20" s="345">
        <f>SUM((Cautious!J18)/1000000)</f>
        <v>3.3585002128095578E-2</v>
      </c>
      <c r="T20" s="326"/>
      <c r="U20" s="345">
        <f>SUM((Optimistic!J18)/1000000)</f>
        <v>6.9407414864748163E-2</v>
      </c>
      <c r="V20" s="326"/>
      <c r="W20" s="345">
        <f>SUM((Pessimistic!J18)/1000000)</f>
        <v>1.2387765095850408E-2</v>
      </c>
      <c r="X20" s="326"/>
      <c r="Y20" s="345">
        <f>SUM(('Worst Case'!J18)/1000000)</f>
        <v>1.0865521167239923E-2</v>
      </c>
      <c r="Z20" s="326"/>
      <c r="AA20" s="345">
        <f>SUM(('Possible+'!J18)/1000000)</f>
        <v>9.425171786550926E-2</v>
      </c>
      <c r="AB20" s="326"/>
      <c r="AI20" s="2"/>
      <c r="AJ20" s="2"/>
      <c r="AK20" s="2"/>
      <c r="AL20" s="2"/>
      <c r="AM20" s="2"/>
      <c r="AN20" s="2"/>
      <c r="AO20" s="2"/>
      <c r="AP20" s="2"/>
      <c r="AQ20" s="2"/>
      <c r="AR20" s="2"/>
      <c r="AS20" s="2"/>
      <c r="AT20" s="2"/>
      <c r="AU20" s="2"/>
      <c r="AV20" s="2"/>
    </row>
    <row r="21" spans="2:48" ht="15" customHeight="1" x14ac:dyDescent="0.25">
      <c r="B21" s="435">
        <v>2020</v>
      </c>
      <c r="C21" s="325"/>
      <c r="D21" s="328"/>
      <c r="E21" s="336"/>
      <c r="F21" s="328"/>
      <c r="G21" s="325"/>
      <c r="H21" s="328"/>
      <c r="I21" s="325"/>
      <c r="J21" s="328"/>
      <c r="K21" s="325"/>
      <c r="L21" s="328"/>
      <c r="M21" s="325"/>
      <c r="N21" s="328"/>
      <c r="O21" s="346">
        <f>SUM(('Result of your Estimation'!O18)/1000000)</f>
        <v>3.8454597338960603E-2</v>
      </c>
      <c r="P21" s="326">
        <f>SUM((O21/O20)-1)</f>
        <v>0.43551766486482735</v>
      </c>
      <c r="Q21" s="346">
        <f>SUM((Realistic!O18)/1000000)</f>
        <v>0.26211723812496734</v>
      </c>
      <c r="R21" s="326">
        <f>SUM((Q21/Q20)-1)</f>
        <v>3.7651414334841133</v>
      </c>
      <c r="S21" s="346">
        <f>SUM((Cautious!O18)/1000000)</f>
        <v>0.10428894296394459</v>
      </c>
      <c r="T21" s="326">
        <f>SUM((S21/S20)-1)</f>
        <v>2.1052236520986112</v>
      </c>
      <c r="U21" s="346">
        <f>SUM((Optimistic!O18)/1000000)</f>
        <v>0.47735846255868269</v>
      </c>
      <c r="V21" s="326">
        <f>SUM((U21/U20)-1)</f>
        <v>5.8776291911879257</v>
      </c>
      <c r="W21" s="346">
        <f>SUM((Pessimistic!O18)/1000000)</f>
        <v>2.4531847214948582E-2</v>
      </c>
      <c r="X21" s="326">
        <f>SUM((W21/W20)-1)</f>
        <v>0.9803287376805474</v>
      </c>
      <c r="Y21" s="346">
        <f>SUM(('Worst Case'!O18)/1000000)</f>
        <v>1.9524335023017342E-2</v>
      </c>
      <c r="Z21" s="326">
        <f>SUM((Y21/Y20)-1)</f>
        <v>0.7969073662001751</v>
      </c>
      <c r="AA21" s="346">
        <f>SUM(('Possible+'!O18)/1000000)</f>
        <v>1.66927504603318</v>
      </c>
      <c r="AB21" s="326">
        <f>SUM((AA21/AA20)-1)</f>
        <v>16.710818262380332</v>
      </c>
      <c r="AI21" s="2"/>
      <c r="AJ21" s="2"/>
      <c r="AK21" s="2"/>
      <c r="AL21" s="2"/>
      <c r="AM21" s="2"/>
      <c r="AN21" s="2"/>
      <c r="AO21" s="2"/>
      <c r="AP21" s="2"/>
      <c r="AQ21" s="2"/>
      <c r="AR21" s="2"/>
      <c r="AS21" s="2"/>
      <c r="AT21" s="2"/>
      <c r="AU21" s="2"/>
      <c r="AV21" s="2"/>
    </row>
    <row r="22" spans="2:48" ht="15" customHeight="1" x14ac:dyDescent="0.25">
      <c r="B22" s="435">
        <v>2021</v>
      </c>
      <c r="C22" s="325"/>
      <c r="D22" s="328"/>
      <c r="E22" s="336"/>
      <c r="F22" s="328"/>
      <c r="G22" s="325"/>
      <c r="H22" s="328"/>
      <c r="I22" s="325"/>
      <c r="J22" s="328"/>
      <c r="K22" s="325"/>
      <c r="L22" s="328"/>
      <c r="M22" s="325"/>
      <c r="N22" s="328"/>
      <c r="O22" s="347">
        <f>(SUM(('Result of your Estimation'!T18)/1000000))</f>
        <v>3.8454597338960603E-2</v>
      </c>
      <c r="P22" s="326">
        <f t="shared" ref="P22:P25" si="6">SUM((O22/O21)-1)</f>
        <v>0</v>
      </c>
      <c r="Q22" s="347">
        <f>(SUM((Realistic!T18)/1000000))</f>
        <v>2.0163530394777931</v>
      </c>
      <c r="R22" s="326">
        <f t="shared" ref="R22:R25" si="7">SUM((Q22/Q21)-1)</f>
        <v>6.6925617479475887</v>
      </c>
      <c r="S22" s="347">
        <f>(SUM((Cautious!T18)/1000000))</f>
        <v>0.41549386781715836</v>
      </c>
      <c r="T22" s="326">
        <f t="shared" ref="T22:T25" si="8">SUM((S22/S21)-1)</f>
        <v>2.9840644272404355</v>
      </c>
      <c r="U22" s="347">
        <f>(SUM((Optimistic!T18)/1000000))</f>
        <v>4.6260310702250429</v>
      </c>
      <c r="V22" s="326">
        <f>SUM((U22/U21)-1)</f>
        <v>8.6908956959286225</v>
      </c>
      <c r="W22" s="347">
        <f>(SUM((Pessimistic!T18)/1000000))</f>
        <v>3.8401922706784102E-2</v>
      </c>
      <c r="X22" s="326">
        <f t="shared" ref="X22:X25" si="9">SUM((W22/W21)-1)</f>
        <v>0.5653905867872735</v>
      </c>
      <c r="Y22" s="347">
        <f>(SUM(('Worst Case'!T18)/1000000))</f>
        <v>3.0078977575977203E-2</v>
      </c>
      <c r="Z22" s="326">
        <f t="shared" ref="Z22:Z25" si="10">SUM((Y22/Y21)-1)</f>
        <v>0.54058909256151044</v>
      </c>
      <c r="AA22" s="347">
        <f>(SUM(('Possible+'!T18)/1000000))</f>
        <v>28.15074155913684</v>
      </c>
      <c r="AB22" s="326">
        <f>SUM((AA22/AA21)-1)</f>
        <v>15.864052227961771</v>
      </c>
      <c r="AI22" s="2"/>
      <c r="AJ22" s="2"/>
      <c r="AK22" s="2"/>
      <c r="AL22" s="2"/>
      <c r="AM22" s="2"/>
      <c r="AN22" s="2"/>
      <c r="AO22" s="2"/>
      <c r="AP22" s="2"/>
      <c r="AQ22" s="2"/>
      <c r="AR22" s="2"/>
      <c r="AS22" s="2"/>
      <c r="AT22" s="2"/>
      <c r="AU22" s="2"/>
      <c r="AV22" s="2"/>
    </row>
    <row r="23" spans="2:48" ht="15" customHeight="1" x14ac:dyDescent="0.25">
      <c r="B23" s="435">
        <v>2022</v>
      </c>
      <c r="C23" s="333"/>
      <c r="D23" s="328"/>
      <c r="E23" s="336"/>
      <c r="F23" s="328"/>
      <c r="G23" s="333"/>
      <c r="H23" s="328"/>
      <c r="I23" s="333"/>
      <c r="J23" s="328"/>
      <c r="K23" s="333"/>
      <c r="L23" s="328"/>
      <c r="M23" s="333"/>
      <c r="N23" s="328"/>
      <c r="O23" s="348">
        <f>SUM(('Result of your Estimation'!U18)/1000000)</f>
        <v>3.8454597338960603E-2</v>
      </c>
      <c r="P23" s="326">
        <f t="shared" si="6"/>
        <v>0</v>
      </c>
      <c r="Q23" s="348">
        <f>SUM((Realistic!U18)/1000000)</f>
        <v>5.8912056794336474</v>
      </c>
      <c r="R23" s="326">
        <f t="shared" si="7"/>
        <v>1.9217133924917169</v>
      </c>
      <c r="S23" s="348">
        <f>SUM((Cautious!U18)/1000000)</f>
        <v>0.9093652633005842</v>
      </c>
      <c r="T23" s="326">
        <f t="shared" si="8"/>
        <v>1.1886370262888168</v>
      </c>
      <c r="U23" s="348">
        <f>SUM((Optimistic!U18)/1000000)</f>
        <v>12.934813317469544</v>
      </c>
      <c r="V23" s="326">
        <f>SUM((U23/U22)-1)</f>
        <v>1.7960930484715276</v>
      </c>
      <c r="W23" s="348">
        <f>SUM((Pessimistic!U18)/1000000)</f>
        <v>0.1095017068687381</v>
      </c>
      <c r="X23" s="326">
        <f t="shared" si="9"/>
        <v>1.8514641755006052</v>
      </c>
      <c r="Y23" s="348">
        <f>SUM(('Worst Case'!U18)/1000000)</f>
        <v>9.1586845292634722E-2</v>
      </c>
      <c r="Z23" s="326">
        <f t="shared" si="10"/>
        <v>2.0448789378326886</v>
      </c>
      <c r="AA23" s="348">
        <f>SUM(('Possible+'!U18)/1000000)</f>
        <v>86.01261454439053</v>
      </c>
      <c r="AB23" s="326">
        <f>SUM((AA23/AA22)-1)</f>
        <v>2.0554297961814636</v>
      </c>
      <c r="AI23" s="2"/>
      <c r="AJ23" s="2"/>
      <c r="AK23" s="2"/>
      <c r="AL23" s="2"/>
      <c r="AM23" s="2"/>
      <c r="AN23" s="2"/>
      <c r="AO23" s="2"/>
      <c r="AP23" s="2"/>
      <c r="AQ23" s="2"/>
      <c r="AR23" s="2"/>
      <c r="AS23" s="2"/>
      <c r="AT23" s="2"/>
      <c r="AU23" s="2"/>
      <c r="AV23" s="2"/>
    </row>
    <row r="24" spans="2:48" ht="15" customHeight="1" x14ac:dyDescent="0.25">
      <c r="B24" s="435">
        <v>2023</v>
      </c>
      <c r="C24" s="333"/>
      <c r="D24" s="328"/>
      <c r="E24" s="336"/>
      <c r="F24" s="328"/>
      <c r="G24" s="333"/>
      <c r="H24" s="328"/>
      <c r="I24" s="333"/>
      <c r="J24" s="328"/>
      <c r="K24" s="333"/>
      <c r="L24" s="328"/>
      <c r="M24" s="333"/>
      <c r="N24" s="328"/>
      <c r="O24" s="348">
        <f>SUM(('Result of your Estimation'!V18)/1000000)</f>
        <v>3.8454597338960603E-2</v>
      </c>
      <c r="P24" s="326">
        <f t="shared" si="6"/>
        <v>0</v>
      </c>
      <c r="Q24" s="348">
        <f>SUM((Realistic!V18)/1000000)</f>
        <v>14.010941670429698</v>
      </c>
      <c r="R24" s="326">
        <f t="shared" si="7"/>
        <v>1.3782808533306281</v>
      </c>
      <c r="S24" s="348">
        <f>SUM((Cautious!V18)/1000000)</f>
        <v>2.9351818902063194</v>
      </c>
      <c r="T24" s="326">
        <f t="shared" si="8"/>
        <v>2.2277259849941244</v>
      </c>
      <c r="U24" s="348">
        <f>SUM((Optimistic!V18)/1000000)</f>
        <v>26.667311902213129</v>
      </c>
      <c r="V24" s="326">
        <f>SUM((U24/U23)-1)</f>
        <v>1.0616696389577345</v>
      </c>
      <c r="W24" s="348">
        <f>SUM((Pessimistic!V18)/1000000)</f>
        <v>0.21291630468873826</v>
      </c>
      <c r="X24" s="326">
        <f t="shared" si="9"/>
        <v>0.9444108295404503</v>
      </c>
      <c r="Y24" s="348">
        <f>SUM(('Worst Case'!V18)/1000000)</f>
        <v>0.14811168729115032</v>
      </c>
      <c r="Z24" s="326">
        <f t="shared" si="10"/>
        <v>0.61717206022229099</v>
      </c>
      <c r="AA24" s="348">
        <f>SUM(('Possible+'!V18)/1000000)</f>
        <v>214.84310994454128</v>
      </c>
      <c r="AB24" s="326">
        <f>SUM((AA24/AA23)-1)</f>
        <v>1.4978093164888295</v>
      </c>
      <c r="AI24" s="2"/>
      <c r="AJ24" s="2"/>
      <c r="AK24" s="2"/>
      <c r="AL24" s="2"/>
      <c r="AM24" s="2"/>
      <c r="AN24" s="2"/>
      <c r="AO24" s="2"/>
      <c r="AP24" s="2"/>
      <c r="AQ24" s="2"/>
      <c r="AR24" s="2"/>
      <c r="AS24" s="2"/>
      <c r="AT24" s="2"/>
      <c r="AU24" s="2"/>
      <c r="AV24" s="2"/>
    </row>
    <row r="25" spans="2:48" ht="15" customHeight="1" thickBot="1" x14ac:dyDescent="0.3">
      <c r="B25" s="436">
        <v>2024</v>
      </c>
      <c r="C25" s="334"/>
      <c r="D25" s="335"/>
      <c r="E25" s="341"/>
      <c r="F25" s="335"/>
      <c r="G25" s="334"/>
      <c r="H25" s="335"/>
      <c r="I25" s="334"/>
      <c r="J25" s="335"/>
      <c r="K25" s="334"/>
      <c r="L25" s="335"/>
      <c r="M25" s="334"/>
      <c r="N25" s="335"/>
      <c r="O25" s="349">
        <f>SUM(('Result of your Estimation'!W18)/1000000)</f>
        <v>3.8454597338960603E-2</v>
      </c>
      <c r="P25" s="327">
        <f t="shared" si="6"/>
        <v>0</v>
      </c>
      <c r="Q25" s="349">
        <f>SUM((Realistic!W18)/1000000)</f>
        <v>25.294677306404136</v>
      </c>
      <c r="R25" s="327">
        <f t="shared" si="7"/>
        <v>0.80535169593839151</v>
      </c>
      <c r="S25" s="349">
        <f>SUM((Cautious!W18)/1000000)</f>
        <v>5.7482580720707679</v>
      </c>
      <c r="T25" s="327">
        <f t="shared" si="8"/>
        <v>0.95839927033166328</v>
      </c>
      <c r="U25" s="349">
        <f>SUM((Optimistic!W18)/1000000)</f>
        <v>46.166558381533548</v>
      </c>
      <c r="V25" s="327">
        <f>SUM((U25/U24)-1)</f>
        <v>0.73120405051782411</v>
      </c>
      <c r="W25" s="349">
        <f>SUM((Pessimistic!W18)/1000000)</f>
        <v>0.30923496707116765</v>
      </c>
      <c r="X25" s="327">
        <f t="shared" si="9"/>
        <v>0.45237804837556883</v>
      </c>
      <c r="Y25" s="349">
        <f>SUM(('Worst Case'!W18)/1000000)</f>
        <v>0.19523351423873583</v>
      </c>
      <c r="Z25" s="327">
        <f t="shared" si="10"/>
        <v>0.31815063219795658</v>
      </c>
      <c r="AA25" s="349">
        <f>SUM(('Possible+'!W18)/1000000)</f>
        <v>391.92913196852197</v>
      </c>
      <c r="AB25" s="327">
        <f>SUM((AA25/AA24)-1)</f>
        <v>0.8242573944758711</v>
      </c>
      <c r="AC25" s="145"/>
      <c r="AI25" s="2"/>
      <c r="AJ25" s="2"/>
      <c r="AK25" s="2"/>
      <c r="AL25" s="2"/>
      <c r="AM25" s="2"/>
      <c r="AN25" s="2"/>
      <c r="AO25" s="2"/>
      <c r="AP25" s="2"/>
      <c r="AQ25" s="2"/>
      <c r="AR25" s="2"/>
      <c r="AS25" s="2"/>
      <c r="AT25" s="2"/>
      <c r="AU25" s="2"/>
      <c r="AV25" s="2"/>
    </row>
    <row r="26" spans="2:48" ht="15" x14ac:dyDescent="0.25">
      <c r="B26" s="133"/>
      <c r="C26" s="133"/>
      <c r="D26" s="182"/>
      <c r="E26" s="135"/>
      <c r="F26" s="182"/>
      <c r="G26" s="133"/>
      <c r="H26" s="182"/>
      <c r="I26" s="133"/>
      <c r="J26" s="182"/>
      <c r="K26" s="133"/>
      <c r="L26" s="182"/>
      <c r="M26" s="133"/>
      <c r="N26" s="182"/>
      <c r="O26" s="133"/>
      <c r="P26" s="188"/>
      <c r="Q26" s="133"/>
      <c r="R26" s="188"/>
      <c r="S26" s="188"/>
      <c r="T26" s="188"/>
      <c r="U26" s="188"/>
      <c r="V26" s="188"/>
      <c r="W26" s="188"/>
      <c r="X26" s="188"/>
      <c r="Y26" s="188"/>
      <c r="Z26" s="188"/>
      <c r="AI26" s="2"/>
      <c r="AJ26" s="2"/>
      <c r="AK26" s="2"/>
      <c r="AL26" s="2"/>
      <c r="AM26" s="2"/>
      <c r="AN26" s="2"/>
      <c r="AO26" s="2"/>
      <c r="AP26" s="2"/>
      <c r="AQ26" s="2"/>
      <c r="AR26" s="2"/>
      <c r="AS26" s="2"/>
      <c r="AT26" s="2"/>
      <c r="AU26" s="2"/>
      <c r="AV26" s="2"/>
    </row>
    <row r="27" spans="2:48" ht="15" x14ac:dyDescent="0.25">
      <c r="B27" s="133"/>
      <c r="C27" s="518" t="s">
        <v>156</v>
      </c>
      <c r="D27" s="184"/>
      <c r="E27" s="141"/>
      <c r="F27" s="184"/>
      <c r="G27" s="137"/>
      <c r="H27" s="184"/>
      <c r="I27" s="137"/>
      <c r="J27" s="184"/>
      <c r="K27" s="137"/>
      <c r="L27" s="184"/>
      <c r="M27" s="137"/>
      <c r="N27" s="184"/>
      <c r="O27" s="150"/>
      <c r="P27" s="432"/>
      <c r="Q27" s="150"/>
      <c r="R27" s="344"/>
      <c r="S27" s="344"/>
      <c r="T27" s="344"/>
      <c r="U27" s="344"/>
      <c r="V27" s="344"/>
      <c r="W27" s="344"/>
      <c r="X27" s="344"/>
      <c r="Y27" s="344"/>
      <c r="Z27" s="344"/>
      <c r="AI27" s="2"/>
      <c r="AJ27" s="2"/>
      <c r="AK27" s="2"/>
      <c r="AL27" s="2"/>
      <c r="AM27" s="2"/>
      <c r="AN27" s="2"/>
      <c r="AO27" s="2"/>
      <c r="AP27" s="2"/>
      <c r="AQ27" s="2"/>
      <c r="AR27" s="2"/>
      <c r="AS27" s="2"/>
      <c r="AT27" s="2"/>
      <c r="AU27" s="2"/>
      <c r="AV27" s="2"/>
    </row>
    <row r="28" spans="2:48" ht="15" x14ac:dyDescent="0.25">
      <c r="B28" s="133"/>
      <c r="C28" s="519" t="s">
        <v>157</v>
      </c>
      <c r="D28" s="185"/>
      <c r="E28" s="146"/>
      <c r="F28" s="185"/>
      <c r="G28" s="147"/>
      <c r="H28" s="185"/>
      <c r="I28" s="147"/>
      <c r="J28" s="185"/>
      <c r="K28" s="147"/>
      <c r="L28" s="185"/>
      <c r="M28" s="147"/>
      <c r="N28" s="185"/>
      <c r="O28" s="152"/>
      <c r="P28" s="433"/>
      <c r="Q28" s="152"/>
      <c r="R28" s="344"/>
      <c r="S28" s="344"/>
      <c r="T28" s="344"/>
      <c r="U28" s="344"/>
      <c r="V28" s="344"/>
      <c r="W28" s="344"/>
      <c r="X28" s="344"/>
      <c r="Y28" s="344"/>
      <c r="Z28" s="344"/>
      <c r="AI28" s="2"/>
      <c r="AJ28" s="2"/>
      <c r="AK28" s="2"/>
      <c r="AL28" s="2"/>
      <c r="AM28" s="2"/>
      <c r="AN28" s="2"/>
      <c r="AO28" s="2"/>
      <c r="AP28" s="2"/>
      <c r="AQ28" s="2"/>
      <c r="AR28" s="2"/>
      <c r="AS28" s="2"/>
      <c r="AT28" s="2"/>
      <c r="AU28" s="2"/>
      <c r="AV28" s="2"/>
    </row>
    <row r="29" spans="2:48" ht="15" x14ac:dyDescent="0.25">
      <c r="B29" s="143"/>
      <c r="C29" s="520" t="s">
        <v>158</v>
      </c>
      <c r="D29" s="183"/>
      <c r="E29" s="144"/>
      <c r="F29" s="183"/>
      <c r="G29" s="142"/>
      <c r="H29" s="183"/>
      <c r="I29" s="142"/>
      <c r="J29" s="183"/>
      <c r="K29" s="142"/>
      <c r="L29" s="183"/>
      <c r="M29" s="142"/>
      <c r="N29" s="183"/>
      <c r="O29" s="151"/>
      <c r="P29" s="434"/>
      <c r="Q29" s="151"/>
      <c r="R29" s="344"/>
      <c r="S29" s="344"/>
      <c r="T29" s="344"/>
      <c r="U29" s="344"/>
      <c r="V29" s="344"/>
      <c r="W29" s="344"/>
      <c r="X29" s="344"/>
      <c r="Y29" s="344"/>
      <c r="Z29" s="344"/>
      <c r="AI29" s="2"/>
      <c r="AJ29" s="2"/>
      <c r="AK29" s="2"/>
      <c r="AL29" s="2"/>
      <c r="AM29" s="2"/>
      <c r="AN29" s="2"/>
      <c r="AO29" s="2"/>
      <c r="AP29" s="2"/>
      <c r="AQ29" s="2"/>
      <c r="AR29" s="2"/>
      <c r="AS29" s="2"/>
      <c r="AT29" s="2"/>
      <c r="AU29" s="2"/>
      <c r="AV29" s="2"/>
    </row>
    <row r="30" spans="2:48" ht="15" x14ac:dyDescent="0.25">
      <c r="B30" s="136"/>
      <c r="C30" s="133"/>
      <c r="D30" s="182"/>
      <c r="E30" s="135"/>
      <c r="F30" s="182"/>
      <c r="G30" s="133"/>
      <c r="H30" s="182"/>
      <c r="I30" s="133"/>
      <c r="J30" s="182"/>
      <c r="K30" s="133"/>
      <c r="L30" s="182"/>
      <c r="M30" s="133"/>
      <c r="N30" s="182"/>
      <c r="O30" s="136"/>
      <c r="P30" s="181"/>
      <c r="Q30" s="136"/>
      <c r="R30" s="181"/>
      <c r="S30" s="181"/>
      <c r="T30" s="181"/>
      <c r="U30" s="181"/>
      <c r="V30" s="181"/>
      <c r="W30" s="181"/>
      <c r="X30" s="181"/>
      <c r="Y30" s="181"/>
      <c r="Z30" s="181"/>
      <c r="AI30" s="2"/>
      <c r="AJ30" s="2"/>
      <c r="AK30" s="2"/>
      <c r="AL30" s="2"/>
      <c r="AM30" s="2"/>
      <c r="AN30" s="2"/>
      <c r="AO30" s="2"/>
      <c r="AP30" s="2"/>
      <c r="AQ30" s="2"/>
      <c r="AR30" s="2"/>
      <c r="AS30" s="2"/>
      <c r="AT30" s="2"/>
      <c r="AU30" s="2"/>
      <c r="AV30" s="2"/>
    </row>
    <row r="31" spans="2:48" ht="15" x14ac:dyDescent="0.25">
      <c r="B31" s="136"/>
      <c r="C31" s="133"/>
      <c r="D31" s="182"/>
      <c r="E31" s="135"/>
      <c r="F31" s="182"/>
      <c r="G31" s="133"/>
      <c r="H31" s="182"/>
      <c r="I31" s="133"/>
      <c r="J31" s="182"/>
      <c r="K31" s="133"/>
      <c r="L31" s="182"/>
      <c r="M31" s="133"/>
      <c r="N31" s="182"/>
      <c r="O31" s="136"/>
      <c r="P31" s="181"/>
      <c r="Q31" s="136"/>
      <c r="R31" s="181"/>
      <c r="S31" s="181"/>
      <c r="T31" s="181"/>
      <c r="U31" s="181"/>
      <c r="V31" s="181"/>
      <c r="W31" s="181"/>
      <c r="X31" s="181"/>
      <c r="Y31" s="181"/>
      <c r="Z31" s="181"/>
      <c r="AI31" s="2"/>
      <c r="AJ31" s="2"/>
      <c r="AK31" s="2"/>
      <c r="AL31" s="2"/>
      <c r="AM31" s="2"/>
      <c r="AN31" s="2"/>
      <c r="AO31" s="2"/>
      <c r="AP31" s="2"/>
      <c r="AQ31" s="2"/>
      <c r="AR31" s="2"/>
      <c r="AS31" s="2"/>
      <c r="AT31" s="2"/>
      <c r="AU31" s="2"/>
      <c r="AV31" s="2"/>
    </row>
    <row r="32" spans="2:48" ht="15" x14ac:dyDescent="0.25">
      <c r="B32" s="133"/>
      <c r="C32" s="133"/>
      <c r="D32" s="182"/>
      <c r="E32" s="135"/>
      <c r="F32" s="182"/>
      <c r="G32" s="133"/>
      <c r="H32" s="182"/>
      <c r="I32" s="133"/>
      <c r="J32" s="182"/>
      <c r="K32" s="133"/>
      <c r="L32" s="182"/>
      <c r="M32" s="133"/>
      <c r="N32" s="182"/>
      <c r="O32" s="133"/>
      <c r="P32" s="188"/>
      <c r="Q32" s="133"/>
      <c r="R32" s="188"/>
      <c r="S32" s="188"/>
      <c r="T32" s="188"/>
      <c r="U32" s="188"/>
      <c r="V32" s="188"/>
      <c r="W32" s="188"/>
      <c r="X32" s="188"/>
      <c r="Y32" s="188"/>
      <c r="Z32" s="188"/>
      <c r="AI32" s="2"/>
      <c r="AJ32" s="2"/>
      <c r="AK32" s="2"/>
      <c r="AL32" s="2"/>
      <c r="AM32" s="2"/>
      <c r="AN32" s="2"/>
      <c r="AO32" s="2"/>
      <c r="AP32" s="2"/>
      <c r="AQ32" s="2"/>
      <c r="AR32" s="2"/>
      <c r="AS32" s="2"/>
      <c r="AT32" s="2"/>
      <c r="AU32" s="2"/>
      <c r="AV32" s="2"/>
    </row>
    <row r="33" spans="1:48" ht="15" x14ac:dyDescent="0.25">
      <c r="B33" s="133"/>
      <c r="C33" s="133"/>
      <c r="D33" s="182"/>
      <c r="E33" s="135"/>
      <c r="F33" s="182"/>
      <c r="G33" s="133"/>
      <c r="H33" s="182"/>
      <c r="I33" s="133"/>
      <c r="J33" s="182"/>
      <c r="K33" s="133"/>
      <c r="L33" s="182"/>
      <c r="M33" s="133"/>
      <c r="N33" s="182"/>
      <c r="O33" s="133"/>
      <c r="P33" s="188"/>
      <c r="Q33" s="133"/>
      <c r="R33" s="188"/>
      <c r="S33" s="188"/>
      <c r="T33" s="188"/>
      <c r="U33" s="188"/>
      <c r="V33" s="188"/>
      <c r="W33" s="188"/>
      <c r="X33" s="188"/>
      <c r="Y33" s="188"/>
      <c r="Z33" s="188"/>
      <c r="AI33" s="2"/>
      <c r="AJ33" s="2"/>
      <c r="AK33" s="2"/>
      <c r="AL33" s="2"/>
      <c r="AM33" s="2"/>
      <c r="AN33" s="2"/>
      <c r="AO33" s="2"/>
      <c r="AP33" s="2"/>
      <c r="AQ33" s="2"/>
      <c r="AR33" s="2"/>
      <c r="AS33" s="2"/>
      <c r="AT33" s="2"/>
      <c r="AU33" s="2"/>
      <c r="AV33" s="2"/>
    </row>
    <row r="34" spans="1:48" ht="15" x14ac:dyDescent="0.25">
      <c r="B34" s="133"/>
      <c r="C34" s="133"/>
      <c r="D34" s="182"/>
      <c r="E34" s="135"/>
      <c r="F34" s="182"/>
      <c r="G34" s="133"/>
      <c r="H34" s="182"/>
      <c r="I34" s="133"/>
      <c r="J34" s="182"/>
      <c r="K34" s="133"/>
      <c r="L34" s="182"/>
      <c r="M34" s="133"/>
      <c r="N34" s="182"/>
      <c r="O34" s="133"/>
      <c r="P34" s="188"/>
      <c r="Q34" s="133"/>
      <c r="R34" s="188"/>
      <c r="S34" s="188"/>
      <c r="T34" s="188"/>
      <c r="U34" s="188"/>
      <c r="V34" s="188"/>
      <c r="W34" s="188"/>
      <c r="X34" s="188"/>
      <c r="Y34" s="188"/>
      <c r="Z34" s="188"/>
      <c r="AI34" s="2"/>
      <c r="AJ34" s="2"/>
      <c r="AK34" s="2"/>
      <c r="AL34" s="2"/>
      <c r="AM34" s="2"/>
      <c r="AN34" s="2"/>
      <c r="AO34" s="2"/>
      <c r="AP34" s="2"/>
      <c r="AQ34" s="2"/>
      <c r="AR34" s="2"/>
      <c r="AS34" s="2"/>
      <c r="AT34" s="2"/>
      <c r="AU34" s="2"/>
      <c r="AV34" s="2"/>
    </row>
    <row r="35" spans="1:48" ht="15" x14ac:dyDescent="0.25">
      <c r="B35" s="133"/>
      <c r="C35" s="133"/>
      <c r="D35" s="182"/>
      <c r="E35" s="135"/>
      <c r="F35" s="182"/>
      <c r="G35" s="133"/>
      <c r="H35" s="182"/>
      <c r="I35" s="133"/>
      <c r="J35" s="182"/>
      <c r="K35" s="133"/>
      <c r="L35" s="182"/>
      <c r="M35" s="133"/>
      <c r="N35" s="182"/>
      <c r="O35" s="133"/>
      <c r="P35" s="188"/>
      <c r="Q35" s="133"/>
      <c r="R35" s="188"/>
      <c r="S35" s="188"/>
      <c r="T35" s="188"/>
      <c r="U35" s="188"/>
      <c r="V35" s="188"/>
      <c r="W35" s="188"/>
      <c r="X35" s="188"/>
      <c r="Y35" s="188"/>
      <c r="Z35" s="188"/>
      <c r="AI35" s="2"/>
      <c r="AJ35" s="2"/>
      <c r="AK35" s="2"/>
      <c r="AL35" s="2"/>
      <c r="AM35" s="2"/>
      <c r="AN35" s="2"/>
      <c r="AO35" s="2"/>
      <c r="AP35" s="2"/>
      <c r="AQ35" s="2"/>
      <c r="AR35" s="2"/>
      <c r="AS35" s="2"/>
      <c r="AT35" s="2"/>
      <c r="AU35" s="2"/>
      <c r="AV35" s="2"/>
    </row>
    <row r="36" spans="1:48" ht="15" x14ac:dyDescent="0.25">
      <c r="B36" s="133"/>
      <c r="C36" s="133"/>
      <c r="D36" s="182"/>
      <c r="E36" s="135"/>
      <c r="F36" s="182"/>
      <c r="G36" s="133"/>
      <c r="H36" s="182"/>
      <c r="I36" s="133"/>
      <c r="J36" s="182"/>
      <c r="K36" s="133"/>
      <c r="L36" s="182"/>
      <c r="M36" s="133"/>
      <c r="N36" s="182"/>
      <c r="O36" s="133"/>
      <c r="P36" s="188"/>
      <c r="Q36" s="133"/>
      <c r="R36" s="188"/>
      <c r="S36" s="188"/>
      <c r="T36" s="188"/>
      <c r="U36" s="188"/>
      <c r="V36" s="188"/>
      <c r="W36" s="188"/>
      <c r="X36" s="188"/>
      <c r="Y36" s="188"/>
      <c r="Z36" s="188"/>
      <c r="AI36" s="2"/>
      <c r="AJ36" s="2"/>
      <c r="AK36" s="2"/>
      <c r="AL36" s="2"/>
      <c r="AM36" s="2"/>
      <c r="AN36" s="2"/>
      <c r="AO36" s="2"/>
      <c r="AP36" s="2"/>
      <c r="AQ36" s="2"/>
      <c r="AR36" s="2"/>
      <c r="AS36" s="2"/>
      <c r="AT36" s="2"/>
      <c r="AU36" s="2"/>
      <c r="AV36" s="2"/>
    </row>
    <row r="37" spans="1:48" ht="15" x14ac:dyDescent="0.25">
      <c r="B37" s="133"/>
      <c r="C37" s="133"/>
      <c r="D37" s="182"/>
      <c r="E37" s="135"/>
      <c r="F37" s="182"/>
      <c r="G37" s="133"/>
      <c r="H37" s="182"/>
      <c r="I37" s="133"/>
      <c r="J37" s="182"/>
      <c r="K37" s="133"/>
      <c r="L37" s="182"/>
      <c r="M37" s="133"/>
      <c r="N37" s="182"/>
      <c r="O37" s="133"/>
      <c r="P37" s="188"/>
      <c r="Q37" s="133"/>
      <c r="R37" s="188"/>
      <c r="S37" s="188"/>
      <c r="T37" s="188"/>
      <c r="U37" s="188"/>
      <c r="V37" s="188"/>
      <c r="W37" s="188"/>
      <c r="X37" s="188"/>
      <c r="Y37" s="188"/>
      <c r="Z37" s="188"/>
      <c r="AI37" s="2"/>
      <c r="AJ37" s="2"/>
      <c r="AK37" s="2"/>
      <c r="AL37" s="2"/>
      <c r="AM37" s="2"/>
      <c r="AN37" s="2"/>
      <c r="AO37" s="2"/>
      <c r="AP37" s="2"/>
      <c r="AQ37" s="2"/>
      <c r="AR37" s="2"/>
      <c r="AS37" s="2"/>
      <c r="AT37" s="2"/>
      <c r="AU37" s="2"/>
      <c r="AV37" s="2"/>
    </row>
    <row r="38" spans="1:48" ht="15" x14ac:dyDescent="0.25">
      <c r="B38" s="133"/>
      <c r="C38" s="133"/>
      <c r="D38" s="182"/>
      <c r="E38" s="135"/>
      <c r="F38" s="182"/>
      <c r="G38" s="133"/>
      <c r="H38" s="182"/>
      <c r="I38" s="133"/>
      <c r="J38" s="182"/>
      <c r="K38" s="133"/>
      <c r="L38" s="182"/>
      <c r="M38" s="133"/>
      <c r="N38" s="182"/>
      <c r="O38" s="133"/>
      <c r="P38" s="188"/>
      <c r="Q38" s="133"/>
      <c r="R38" s="188"/>
      <c r="S38" s="188"/>
      <c r="T38" s="188"/>
      <c r="U38" s="188"/>
      <c r="V38" s="188"/>
      <c r="W38" s="188"/>
      <c r="X38" s="188"/>
      <c r="Y38" s="188"/>
      <c r="Z38" s="188"/>
      <c r="AI38" s="2"/>
      <c r="AJ38" s="2"/>
      <c r="AK38" s="2"/>
      <c r="AL38" s="2"/>
      <c r="AM38" s="2"/>
      <c r="AN38" s="2"/>
      <c r="AO38" s="2"/>
      <c r="AP38" s="2"/>
      <c r="AQ38" s="2"/>
      <c r="AR38" s="2"/>
      <c r="AS38" s="2"/>
      <c r="AT38" s="2"/>
      <c r="AU38" s="2"/>
      <c r="AV38" s="2"/>
    </row>
    <row r="39" spans="1:48" ht="15" x14ac:dyDescent="0.25">
      <c r="A39" t="s">
        <v>271</v>
      </c>
      <c r="B39" s="133"/>
      <c r="C39" s="133"/>
      <c r="D39" s="182"/>
      <c r="E39" s="135"/>
      <c r="F39" s="182"/>
      <c r="G39" s="133"/>
      <c r="H39" s="182"/>
      <c r="I39" s="133"/>
      <c r="J39" s="182"/>
      <c r="K39" s="133"/>
      <c r="L39" s="182"/>
      <c r="M39" s="133"/>
      <c r="N39" s="182"/>
      <c r="O39" s="133"/>
      <c r="P39" s="188"/>
      <c r="Q39" s="133"/>
      <c r="R39" s="188"/>
      <c r="S39" s="188"/>
      <c r="T39" s="188"/>
      <c r="U39" s="188"/>
      <c r="V39" s="188"/>
      <c r="W39" s="188"/>
      <c r="X39" s="188"/>
      <c r="Y39" s="188"/>
      <c r="Z39" s="188"/>
      <c r="AI39" s="2"/>
      <c r="AJ39" s="2"/>
      <c r="AK39" s="2"/>
      <c r="AL39" s="2"/>
      <c r="AM39" s="2"/>
      <c r="AN39" s="2"/>
      <c r="AO39" s="2"/>
      <c r="AP39" s="2"/>
      <c r="AQ39" s="2"/>
      <c r="AR39" s="2"/>
      <c r="AS39" s="2"/>
      <c r="AT39" s="2"/>
      <c r="AU39" s="2"/>
      <c r="AV39" s="2"/>
    </row>
    <row r="40" spans="1:48" ht="15" x14ac:dyDescent="0.25">
      <c r="A40" t="s">
        <v>272</v>
      </c>
      <c r="B40" s="133"/>
      <c r="C40" s="133"/>
      <c r="D40" s="182"/>
      <c r="E40" s="135"/>
      <c r="F40" s="182"/>
      <c r="G40" s="133"/>
      <c r="H40" s="182"/>
      <c r="I40" s="133"/>
      <c r="J40" s="182"/>
      <c r="K40" s="133"/>
      <c r="L40" s="182"/>
      <c r="M40" s="133"/>
      <c r="N40" s="182"/>
      <c r="O40" s="133"/>
      <c r="P40" s="188"/>
      <c r="Q40" s="133"/>
      <c r="R40" s="188"/>
      <c r="S40" s="188"/>
      <c r="T40" s="188"/>
      <c r="U40" s="188"/>
      <c r="V40" s="188"/>
      <c r="W40" s="188"/>
      <c r="X40" s="188"/>
      <c r="Y40" s="188"/>
      <c r="Z40" s="188"/>
      <c r="AI40" s="2"/>
      <c r="AJ40" s="2"/>
      <c r="AK40" s="2"/>
      <c r="AL40" s="2"/>
      <c r="AM40" s="2"/>
      <c r="AN40" s="2"/>
      <c r="AO40" s="2"/>
      <c r="AP40" s="2"/>
      <c r="AQ40" s="2"/>
      <c r="AR40" s="2"/>
      <c r="AS40" s="2"/>
      <c r="AT40" s="2"/>
      <c r="AU40" s="2"/>
      <c r="AV40" s="2"/>
    </row>
    <row r="41" spans="1:48" ht="15" x14ac:dyDescent="0.25">
      <c r="A41" t="s">
        <v>273</v>
      </c>
      <c r="B41" s="133"/>
      <c r="C41" s="133"/>
      <c r="D41" s="182"/>
      <c r="E41" s="135"/>
      <c r="F41" s="182"/>
      <c r="G41" s="133"/>
      <c r="H41" s="182"/>
      <c r="I41" s="133"/>
      <c r="J41" s="182"/>
      <c r="K41" s="133"/>
      <c r="L41" s="182"/>
      <c r="M41" s="133"/>
      <c r="N41" s="182"/>
      <c r="O41" s="133"/>
      <c r="P41" s="188"/>
      <c r="Q41" s="133"/>
      <c r="R41" s="188"/>
      <c r="S41" s="188"/>
      <c r="T41" s="188"/>
      <c r="U41" s="188"/>
      <c r="V41" s="188"/>
      <c r="W41" s="188"/>
      <c r="X41" s="188"/>
      <c r="Y41" s="188"/>
      <c r="Z41" s="188"/>
      <c r="AI41" s="2"/>
      <c r="AJ41" s="2"/>
      <c r="AK41" s="2"/>
      <c r="AL41" s="2"/>
      <c r="AM41" s="2"/>
      <c r="AN41" s="2"/>
      <c r="AO41" s="2"/>
      <c r="AP41" s="2"/>
      <c r="AQ41" s="2"/>
      <c r="AR41" s="2"/>
      <c r="AS41" s="2"/>
      <c r="AT41" s="2"/>
      <c r="AU41" s="2"/>
      <c r="AV41" s="2"/>
    </row>
    <row r="42" spans="1:48" ht="15" x14ac:dyDescent="0.25">
      <c r="A42" t="s">
        <v>274</v>
      </c>
      <c r="B42" s="133"/>
      <c r="C42" s="133"/>
      <c r="D42" s="182"/>
      <c r="E42" s="135"/>
      <c r="F42" s="182"/>
      <c r="G42" s="133"/>
      <c r="H42" s="182"/>
      <c r="I42" s="133"/>
      <c r="J42" s="182"/>
      <c r="K42" s="133"/>
      <c r="L42" s="182"/>
      <c r="M42" s="133"/>
      <c r="N42" s="182"/>
      <c r="O42" s="133"/>
      <c r="P42" s="188"/>
      <c r="Q42" s="133"/>
      <c r="R42" s="188"/>
      <c r="S42" s="188"/>
      <c r="T42" s="188"/>
      <c r="U42" s="188"/>
      <c r="V42" s="188"/>
      <c r="W42" s="188"/>
      <c r="X42" s="188"/>
      <c r="Y42" s="188"/>
      <c r="Z42" s="188"/>
      <c r="AI42" s="2"/>
      <c r="AJ42" s="2"/>
      <c r="AK42" s="2"/>
      <c r="AL42" s="2"/>
      <c r="AM42" s="2"/>
      <c r="AN42" s="2"/>
      <c r="AO42" s="2"/>
      <c r="AP42" s="2"/>
      <c r="AQ42" s="2"/>
      <c r="AR42" s="2"/>
      <c r="AS42" s="2"/>
      <c r="AT42" s="2"/>
      <c r="AU42" s="2"/>
      <c r="AV42" s="2"/>
    </row>
    <row r="43" spans="1:48" ht="15" x14ac:dyDescent="0.25">
      <c r="A43" t="s">
        <v>275</v>
      </c>
      <c r="B43" s="133"/>
      <c r="C43" s="133"/>
      <c r="D43" s="182"/>
      <c r="E43" s="135"/>
      <c r="F43" s="182"/>
      <c r="G43" s="133"/>
      <c r="H43" s="182"/>
      <c r="I43" s="133"/>
      <c r="J43" s="182"/>
      <c r="K43" s="133"/>
      <c r="L43" s="182"/>
      <c r="M43" s="133"/>
      <c r="N43" s="182"/>
      <c r="O43" s="133"/>
      <c r="P43" s="188"/>
      <c r="Q43" s="133"/>
      <c r="R43" s="188"/>
      <c r="S43" s="188"/>
      <c r="T43" s="188"/>
      <c r="U43" s="188"/>
      <c r="V43" s="188"/>
      <c r="W43" s="188"/>
      <c r="X43" s="188"/>
      <c r="Y43" s="188"/>
      <c r="Z43" s="188"/>
      <c r="AI43" s="2"/>
      <c r="AJ43" s="2"/>
      <c r="AK43" s="2"/>
      <c r="AL43" s="2"/>
      <c r="AM43" s="2"/>
      <c r="AN43" s="2"/>
      <c r="AO43" s="2"/>
      <c r="AP43" s="2"/>
      <c r="AQ43" s="2"/>
      <c r="AR43" s="2"/>
      <c r="AS43" s="2"/>
      <c r="AT43" s="2"/>
      <c r="AU43" s="2"/>
      <c r="AV43" s="2"/>
    </row>
    <row r="44" spans="1:48" ht="15" x14ac:dyDescent="0.25">
      <c r="A44" t="s">
        <v>276</v>
      </c>
      <c r="B44" s="133"/>
      <c r="C44" s="133"/>
      <c r="D44" s="182"/>
      <c r="E44" s="135"/>
      <c r="F44" s="182"/>
      <c r="G44" s="133"/>
      <c r="H44" s="182"/>
      <c r="I44" s="133"/>
      <c r="J44" s="182"/>
      <c r="K44" s="133"/>
      <c r="L44" s="182"/>
      <c r="M44" s="133"/>
      <c r="N44" s="182"/>
      <c r="O44" s="133"/>
      <c r="P44" s="188"/>
      <c r="Q44" s="133"/>
      <c r="R44" s="188"/>
      <c r="S44" s="188"/>
      <c r="T44" s="188"/>
      <c r="U44" s="188"/>
      <c r="V44" s="188"/>
      <c r="W44" s="188"/>
      <c r="X44" s="188"/>
      <c r="Y44" s="188"/>
      <c r="Z44" s="188"/>
      <c r="AI44" s="2"/>
      <c r="AJ44" s="2"/>
      <c r="AK44" s="2"/>
      <c r="AL44" s="2"/>
      <c r="AM44" s="2"/>
      <c r="AN44" s="2"/>
      <c r="AO44" s="2"/>
      <c r="AP44" s="2"/>
      <c r="AQ44" s="2"/>
      <c r="AR44" s="2"/>
      <c r="AS44" s="2"/>
      <c r="AT44" s="2"/>
      <c r="AU44" s="2"/>
      <c r="AV44" s="2"/>
    </row>
    <row r="45" spans="1:48" ht="15" x14ac:dyDescent="0.25">
      <c r="A45" t="s">
        <v>277</v>
      </c>
      <c r="B45" s="133"/>
      <c r="C45" s="145"/>
      <c r="D45" s="182"/>
      <c r="E45" s="135"/>
      <c r="F45" s="182"/>
      <c r="G45" s="133"/>
      <c r="H45" s="182"/>
      <c r="I45" s="133"/>
      <c r="J45" s="182"/>
      <c r="K45" s="133"/>
      <c r="L45" s="182"/>
      <c r="M45" s="133"/>
      <c r="N45" s="182"/>
      <c r="O45" s="133"/>
      <c r="P45" s="188"/>
      <c r="Q45" s="133"/>
      <c r="R45" s="188"/>
      <c r="S45" s="188"/>
      <c r="T45" s="188"/>
      <c r="U45" s="188"/>
      <c r="V45" s="188"/>
      <c r="W45" s="188"/>
      <c r="X45" s="188"/>
      <c r="Y45" s="188"/>
      <c r="Z45" s="188"/>
      <c r="AI45" s="2"/>
      <c r="AJ45" s="2"/>
      <c r="AK45" s="2"/>
      <c r="AL45" s="2"/>
      <c r="AM45" s="2"/>
      <c r="AN45" s="2"/>
      <c r="AO45" s="2"/>
      <c r="AP45" s="2"/>
      <c r="AQ45" s="2"/>
      <c r="AR45" s="2"/>
      <c r="AS45" s="2"/>
      <c r="AT45" s="2"/>
      <c r="AU45" s="2"/>
      <c r="AV45" s="2"/>
    </row>
    <row r="46" spans="1:48" ht="15" x14ac:dyDescent="0.25">
      <c r="A46" t="s">
        <v>278</v>
      </c>
      <c r="B46" s="133"/>
      <c r="C46" s="133"/>
      <c r="D46" s="182"/>
      <c r="E46" s="135"/>
      <c r="F46" s="182"/>
      <c r="G46" s="133"/>
      <c r="H46" s="182"/>
      <c r="I46" s="133"/>
      <c r="J46" s="182"/>
      <c r="K46" s="133"/>
      <c r="L46" s="182"/>
      <c r="M46" s="133"/>
      <c r="N46" s="182"/>
      <c r="O46" s="133"/>
      <c r="P46" s="188"/>
      <c r="Q46" s="133"/>
      <c r="R46" s="188"/>
      <c r="S46" s="188"/>
      <c r="T46" s="188"/>
      <c r="U46" s="188"/>
      <c r="V46" s="188"/>
      <c r="W46" s="188"/>
      <c r="X46" s="188"/>
      <c r="Y46" s="188"/>
      <c r="Z46" s="188"/>
      <c r="AI46" s="2"/>
      <c r="AJ46" s="2"/>
      <c r="AK46" s="2"/>
      <c r="AL46" s="2"/>
      <c r="AM46" s="2"/>
      <c r="AN46" s="2"/>
      <c r="AO46" s="2"/>
      <c r="AP46" s="2"/>
      <c r="AQ46" s="2"/>
      <c r="AR46" s="2"/>
      <c r="AS46" s="2"/>
      <c r="AT46" s="2"/>
      <c r="AU46" s="2"/>
      <c r="AV46" s="2"/>
    </row>
    <row r="47" spans="1:48" x14ac:dyDescent="0.2">
      <c r="B47" s="1"/>
      <c r="C47" s="1"/>
      <c r="D47" s="186"/>
      <c r="E47" s="1"/>
      <c r="F47" s="186"/>
      <c r="G47" s="1"/>
      <c r="H47" s="186"/>
      <c r="I47" s="1"/>
      <c r="J47" s="186"/>
      <c r="K47" s="1"/>
      <c r="L47" s="186"/>
      <c r="M47" s="1"/>
      <c r="N47" s="186"/>
      <c r="O47" s="1"/>
      <c r="P47" s="189"/>
      <c r="Q47" s="1"/>
      <c r="R47" s="189"/>
      <c r="S47" s="189"/>
      <c r="T47" s="189"/>
      <c r="U47" s="189"/>
      <c r="V47" s="189"/>
      <c r="W47" s="189"/>
      <c r="X47" s="189"/>
      <c r="Y47" s="189"/>
      <c r="Z47" s="189"/>
      <c r="AA47" s="1"/>
      <c r="AB47" s="1"/>
      <c r="AC47" s="1"/>
      <c r="AD47" s="1"/>
      <c r="AE47" s="1"/>
      <c r="AF47" s="2"/>
      <c r="AG47" s="2"/>
      <c r="AH47" s="2"/>
      <c r="AI47" s="2"/>
      <c r="AJ47" s="2"/>
      <c r="AK47" s="2"/>
      <c r="AL47" s="2"/>
      <c r="AM47" s="2"/>
      <c r="AN47" s="2"/>
      <c r="AO47" s="2"/>
      <c r="AP47" s="2"/>
      <c r="AQ47" s="2"/>
      <c r="AR47" s="2"/>
      <c r="AS47" s="2"/>
      <c r="AT47" s="2"/>
      <c r="AU47" s="2"/>
      <c r="AV47" s="2"/>
    </row>
    <row r="48" spans="1:48" x14ac:dyDescent="0.2">
      <c r="B48" s="1"/>
      <c r="C48" s="1"/>
      <c r="D48" s="186"/>
      <c r="E48" s="1"/>
      <c r="F48" s="186"/>
      <c r="G48" s="1"/>
      <c r="H48" s="186"/>
      <c r="I48" s="1"/>
      <c r="J48" s="186"/>
      <c r="K48" s="1"/>
      <c r="L48" s="186"/>
      <c r="M48" s="1"/>
      <c r="N48" s="186"/>
      <c r="O48" s="1"/>
      <c r="P48" s="189"/>
      <c r="Q48" s="1"/>
      <c r="R48" s="189"/>
      <c r="S48" s="189"/>
      <c r="T48" s="189"/>
      <c r="U48" s="189"/>
      <c r="V48" s="189"/>
      <c r="W48" s="189"/>
      <c r="X48" s="189"/>
      <c r="Y48" s="189"/>
      <c r="Z48" s="189"/>
      <c r="AA48" s="1"/>
      <c r="AB48" s="1"/>
      <c r="AC48" s="1"/>
      <c r="AD48" s="1"/>
      <c r="AE48" s="1"/>
      <c r="AF48" s="1"/>
      <c r="AG48" s="1"/>
      <c r="AH48" s="2"/>
      <c r="AI48" s="2"/>
      <c r="AJ48" s="2"/>
      <c r="AK48" s="2"/>
      <c r="AL48" s="2"/>
      <c r="AM48" s="2"/>
      <c r="AN48" s="2"/>
      <c r="AO48" s="2"/>
      <c r="AP48" s="2"/>
      <c r="AQ48" s="2"/>
      <c r="AR48" s="2"/>
      <c r="AS48" s="2"/>
      <c r="AT48" s="2"/>
      <c r="AU48" s="2"/>
      <c r="AV48" s="2"/>
    </row>
    <row r="49" spans="2:48" x14ac:dyDescent="0.2">
      <c r="B49" s="1"/>
      <c r="C49" s="1"/>
      <c r="D49" s="186"/>
      <c r="E49" s="1"/>
      <c r="F49" s="186"/>
      <c r="G49" s="1"/>
      <c r="H49" s="186"/>
      <c r="I49" s="1"/>
      <c r="J49" s="186"/>
      <c r="K49" s="1"/>
      <c r="L49" s="186"/>
      <c r="M49" s="1"/>
      <c r="N49" s="186"/>
      <c r="P49" s="189"/>
      <c r="R49" s="189"/>
      <c r="S49" s="189"/>
      <c r="T49" s="189"/>
      <c r="U49" s="189"/>
      <c r="V49" s="189"/>
      <c r="W49" s="189"/>
      <c r="X49" s="189"/>
      <c r="Y49" s="189"/>
      <c r="Z49" s="189"/>
      <c r="AA49" s="1"/>
      <c r="AB49" s="1"/>
      <c r="AC49" s="1"/>
      <c r="AD49" s="1"/>
      <c r="AE49" s="1"/>
      <c r="AF49" s="1"/>
      <c r="AG49" s="1"/>
      <c r="AH49" s="2"/>
      <c r="AI49" s="2"/>
      <c r="AJ49" s="2"/>
      <c r="AK49" s="2"/>
      <c r="AL49" s="2"/>
      <c r="AM49" s="2"/>
      <c r="AN49" s="2"/>
      <c r="AO49" s="2"/>
      <c r="AP49" s="2"/>
      <c r="AQ49" s="2"/>
      <c r="AR49" s="2"/>
      <c r="AS49" s="2"/>
      <c r="AT49" s="2"/>
      <c r="AU49" s="2"/>
      <c r="AV49" s="2"/>
    </row>
    <row r="50" spans="2:48" x14ac:dyDescent="0.2">
      <c r="B50" s="1"/>
      <c r="C50" s="1"/>
      <c r="D50" s="186"/>
      <c r="E50" s="1"/>
      <c r="F50" s="186"/>
      <c r="G50" s="1"/>
      <c r="H50" s="186"/>
      <c r="I50" s="1"/>
      <c r="J50" s="186"/>
      <c r="K50" s="1"/>
      <c r="L50" s="186"/>
      <c r="M50" s="1"/>
      <c r="N50" s="186"/>
      <c r="P50" s="189"/>
      <c r="R50" s="189"/>
      <c r="S50" s="189"/>
      <c r="T50" s="189"/>
      <c r="U50" s="189"/>
      <c r="V50" s="189"/>
      <c r="W50" s="189"/>
      <c r="X50" s="189"/>
      <c r="Y50" s="189"/>
      <c r="Z50" s="189"/>
      <c r="AA50" s="1"/>
      <c r="AB50" s="1"/>
      <c r="AC50" s="1"/>
      <c r="AD50" s="1"/>
      <c r="AE50" s="1"/>
      <c r="AF50" s="1"/>
      <c r="AG50" s="1"/>
      <c r="AH50" s="2"/>
      <c r="AI50" s="2"/>
      <c r="AJ50" s="2"/>
      <c r="AK50" s="2"/>
      <c r="AL50" s="2"/>
      <c r="AM50" s="2"/>
      <c r="AN50" s="2"/>
      <c r="AO50" s="2"/>
      <c r="AP50" s="2"/>
      <c r="AQ50" s="2"/>
      <c r="AR50" s="2"/>
      <c r="AS50" s="2"/>
      <c r="AT50" s="2"/>
      <c r="AU50" s="2"/>
      <c r="AV50" s="2"/>
    </row>
    <row r="60" spans="2:48" x14ac:dyDescent="0.2">
      <c r="B60" s="154" t="s">
        <v>159</v>
      </c>
      <c r="S60" s="154" t="s">
        <v>162</v>
      </c>
    </row>
    <row r="61" spans="2:48" x14ac:dyDescent="0.2">
      <c r="B61" s="153" t="s">
        <v>160</v>
      </c>
      <c r="S61" s="154" t="s">
        <v>163</v>
      </c>
    </row>
    <row r="62" spans="2:48" x14ac:dyDescent="0.2">
      <c r="B62" s="153" t="s">
        <v>161</v>
      </c>
      <c r="S62" s="153" t="s">
        <v>164</v>
      </c>
    </row>
    <row r="65" spans="2:19" ht="15" x14ac:dyDescent="0.25">
      <c r="B65" s="136" t="s">
        <v>170</v>
      </c>
      <c r="C65" s="136"/>
    </row>
    <row r="66" spans="2:19" ht="15" x14ac:dyDescent="0.25">
      <c r="B66" s="136"/>
      <c r="C66" s="136"/>
    </row>
    <row r="68" spans="2:19" x14ac:dyDescent="0.2">
      <c r="B68" s="138" t="s">
        <v>23</v>
      </c>
      <c r="C68" s="139" t="s">
        <v>29</v>
      </c>
      <c r="S68" s="154" t="s">
        <v>165</v>
      </c>
    </row>
    <row r="69" spans="2:19" ht="15" x14ac:dyDescent="0.2">
      <c r="B69" s="138"/>
      <c r="C69" s="140" t="s">
        <v>22</v>
      </c>
      <c r="S69" s="149" t="s">
        <v>40</v>
      </c>
    </row>
    <row r="70" spans="2:19" x14ac:dyDescent="0.2">
      <c r="B70" s="138" t="s">
        <v>26</v>
      </c>
      <c r="C70" s="139" t="s">
        <v>30</v>
      </c>
    </row>
    <row r="71" spans="2:19" x14ac:dyDescent="0.2">
      <c r="B71" s="138"/>
      <c r="C71" s="139" t="s">
        <v>31</v>
      </c>
      <c r="S71" s="155" t="s">
        <v>166</v>
      </c>
    </row>
    <row r="72" spans="2:19" x14ac:dyDescent="0.2">
      <c r="B72" s="138"/>
      <c r="C72" s="139" t="s">
        <v>32</v>
      </c>
      <c r="S72" s="154" t="s">
        <v>167</v>
      </c>
    </row>
    <row r="73" spans="2:19" x14ac:dyDescent="0.2">
      <c r="B73" s="138" t="s">
        <v>24</v>
      </c>
      <c r="C73" s="139" t="s">
        <v>33</v>
      </c>
      <c r="S73" s="155" t="s">
        <v>168</v>
      </c>
    </row>
    <row r="74" spans="2:19" x14ac:dyDescent="0.2">
      <c r="B74" s="138"/>
      <c r="C74" s="139" t="s">
        <v>34</v>
      </c>
      <c r="S74" s="155" t="s">
        <v>169</v>
      </c>
    </row>
    <row r="75" spans="2:19" x14ac:dyDescent="0.2">
      <c r="B75" s="138" t="s">
        <v>28</v>
      </c>
      <c r="C75" s="139" t="s">
        <v>35</v>
      </c>
      <c r="S75"/>
    </row>
    <row r="76" spans="2:19" x14ac:dyDescent="0.2">
      <c r="B76" s="138" t="s">
        <v>27</v>
      </c>
      <c r="C76" s="139" t="s">
        <v>36</v>
      </c>
    </row>
    <row r="77" spans="2:19" x14ac:dyDescent="0.2">
      <c r="B77" s="138"/>
      <c r="C77" s="139" t="s">
        <v>37</v>
      </c>
    </row>
    <row r="78" spans="2:19" x14ac:dyDescent="0.2">
      <c r="B78" s="138" t="s">
        <v>25</v>
      </c>
      <c r="C78" s="139" t="s">
        <v>38</v>
      </c>
    </row>
    <row r="79" spans="2:19" x14ac:dyDescent="0.2">
      <c r="B79" s="133"/>
      <c r="C79" s="139" t="s">
        <v>39</v>
      </c>
    </row>
    <row r="80" spans="2:19" x14ac:dyDescent="0.2">
      <c r="B80" s="133"/>
      <c r="C80" s="145"/>
    </row>
    <row r="81" spans="2:2" x14ac:dyDescent="0.2">
      <c r="B81" s="133"/>
    </row>
    <row r="82" spans="2:2" x14ac:dyDescent="0.2">
      <c r="B82" s="133"/>
    </row>
    <row r="83" spans="2:2" x14ac:dyDescent="0.2">
      <c r="B83" s="133"/>
    </row>
    <row r="84" spans="2:2" x14ac:dyDescent="0.2">
      <c r="B84" s="133"/>
    </row>
    <row r="85" spans="2:2" x14ac:dyDescent="0.2">
      <c r="B85" s="133"/>
    </row>
    <row r="86" spans="2:2" x14ac:dyDescent="0.2">
      <c r="B86" s="133"/>
    </row>
  </sheetData>
  <customSheetViews>
    <customSheetView guid="{09E562D2-D560-4B45-A29C-3521ECE58314}">
      <pageMargins left="0.78740157499999996" right="0.78740157499999996" top="0.984251969" bottom="0.984251969" header="0.4921259845" footer="0.4921259845"/>
      <headerFooter alignWithMargins="0"/>
    </customSheetView>
  </customSheetViews>
  <mergeCells count="21">
    <mergeCell ref="M2:N3"/>
    <mergeCell ref="Q2:R2"/>
    <mergeCell ref="O2:P2"/>
    <mergeCell ref="AA2:AB2"/>
    <mergeCell ref="AA3:AB3"/>
    <mergeCell ref="B2:B3"/>
    <mergeCell ref="S2:T2"/>
    <mergeCell ref="U2:V2"/>
    <mergeCell ref="W2:X2"/>
    <mergeCell ref="Y2:Z2"/>
    <mergeCell ref="S3:T3"/>
    <mergeCell ref="U3:V3"/>
    <mergeCell ref="W3:X3"/>
    <mergeCell ref="Y3:Z3"/>
    <mergeCell ref="C2:D3"/>
    <mergeCell ref="E2:F3"/>
    <mergeCell ref="G2:H3"/>
    <mergeCell ref="I2:J3"/>
    <mergeCell ref="O3:P3"/>
    <mergeCell ref="Q3:R3"/>
    <mergeCell ref="K2:L3"/>
  </mergeCells>
  <phoneticPr fontId="3" type="noConversion"/>
  <hyperlinks>
    <hyperlink ref="S69" r:id="rId1"/>
  </hyperlinks>
  <pageMargins left="0.78740157499999996" right="0.78740157499999996" top="0.984251969" bottom="0.984251969" header="0.4921259845" footer="0.4921259845"/>
  <pageSetup paperSize="9" orientation="portrait"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A52" sqref="A52"/>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34" t="s">
        <v>171</v>
      </c>
      <c r="B1" s="636" t="s">
        <v>172</v>
      </c>
      <c r="C1" s="637"/>
      <c r="D1" s="638" t="s">
        <v>150</v>
      </c>
      <c r="E1" s="639"/>
      <c r="F1" s="627" t="s">
        <v>212</v>
      </c>
      <c r="G1" s="628"/>
      <c r="H1" s="628"/>
      <c r="I1" s="629"/>
      <c r="J1" s="44">
        <v>2019</v>
      </c>
      <c r="K1" s="627" t="s">
        <v>213</v>
      </c>
      <c r="L1" s="628"/>
      <c r="M1" s="628"/>
      <c r="N1" s="629"/>
      <c r="O1" s="44">
        <v>2020</v>
      </c>
      <c r="P1" s="627" t="s">
        <v>253</v>
      </c>
      <c r="Q1" s="628"/>
      <c r="R1" s="628"/>
      <c r="S1" s="629"/>
      <c r="T1" s="94">
        <v>2021</v>
      </c>
      <c r="U1" s="164">
        <v>2022</v>
      </c>
      <c r="V1" s="44">
        <v>2023</v>
      </c>
      <c r="W1" s="165">
        <v>2024</v>
      </c>
      <c r="X1" s="170"/>
      <c r="Y1" s="511" t="s">
        <v>270</v>
      </c>
      <c r="Z1" s="38">
        <v>2019</v>
      </c>
      <c r="AA1" s="38">
        <v>2019</v>
      </c>
      <c r="AB1" s="38">
        <v>2019</v>
      </c>
      <c r="AC1" s="44" t="s">
        <v>11</v>
      </c>
      <c r="AD1" s="44" t="s">
        <v>11</v>
      </c>
      <c r="AE1" s="38">
        <v>2019</v>
      </c>
      <c r="AF1" s="38">
        <v>2019</v>
      </c>
      <c r="AG1" s="38">
        <v>2019</v>
      </c>
      <c r="AH1" s="44" t="s">
        <v>12</v>
      </c>
      <c r="AI1" s="44" t="s">
        <v>12</v>
      </c>
      <c r="AJ1" s="38">
        <v>2019</v>
      </c>
      <c r="AK1" s="38">
        <v>2019</v>
      </c>
      <c r="AL1" s="38">
        <v>2019</v>
      </c>
      <c r="AM1" s="44" t="s">
        <v>13</v>
      </c>
      <c r="AN1" s="44" t="s">
        <v>13</v>
      </c>
      <c r="AO1" s="38">
        <v>2019</v>
      </c>
      <c r="AP1" s="38">
        <v>2019</v>
      </c>
      <c r="AQ1" s="38">
        <v>2019</v>
      </c>
      <c r="AR1" s="44" t="s">
        <v>10</v>
      </c>
      <c r="AS1" s="44" t="s">
        <v>10</v>
      </c>
      <c r="AT1" s="38">
        <v>2020</v>
      </c>
      <c r="AU1" s="37">
        <v>2020</v>
      </c>
      <c r="AV1" s="37">
        <v>2020</v>
      </c>
      <c r="AW1" s="44" t="s">
        <v>9</v>
      </c>
      <c r="AX1" s="44" t="s">
        <v>9</v>
      </c>
      <c r="AY1" s="37">
        <v>2020</v>
      </c>
      <c r="AZ1" s="37">
        <v>2020</v>
      </c>
      <c r="BA1" s="37">
        <v>2020</v>
      </c>
      <c r="BB1" s="44" t="s">
        <v>8</v>
      </c>
      <c r="BC1" s="44" t="s">
        <v>8</v>
      </c>
      <c r="BD1" s="37">
        <v>2020</v>
      </c>
      <c r="BE1" s="37">
        <v>2020</v>
      </c>
      <c r="BF1" s="37">
        <v>2020</v>
      </c>
      <c r="BG1" s="44" t="s">
        <v>15</v>
      </c>
      <c r="BH1" s="44" t="s">
        <v>15</v>
      </c>
      <c r="BI1" s="39">
        <v>2020</v>
      </c>
      <c r="BJ1" s="39">
        <v>2020</v>
      </c>
      <c r="BK1" s="39">
        <v>2020</v>
      </c>
      <c r="BL1" s="44" t="s">
        <v>16</v>
      </c>
      <c r="BM1" s="44" t="s">
        <v>16</v>
      </c>
      <c r="BN1" s="39">
        <v>2021</v>
      </c>
      <c r="BO1" s="39">
        <v>2021</v>
      </c>
      <c r="BP1" s="39">
        <v>2021</v>
      </c>
      <c r="BQ1" s="44" t="s">
        <v>256</v>
      </c>
      <c r="BR1" s="44" t="s">
        <v>256</v>
      </c>
      <c r="BS1" s="39">
        <v>2021</v>
      </c>
      <c r="BT1" s="39">
        <v>2021</v>
      </c>
      <c r="BU1" s="39">
        <v>2021</v>
      </c>
      <c r="BV1" s="44" t="s">
        <v>257</v>
      </c>
      <c r="BW1" s="44" t="s">
        <v>257</v>
      </c>
      <c r="BX1" s="39">
        <v>2021</v>
      </c>
      <c r="BY1" s="39">
        <v>2021</v>
      </c>
      <c r="BZ1" s="39">
        <v>2021</v>
      </c>
      <c r="CA1" s="44" t="s">
        <v>258</v>
      </c>
      <c r="CB1" s="44" t="s">
        <v>258</v>
      </c>
      <c r="CC1" s="39">
        <v>2021</v>
      </c>
      <c r="CD1" s="39">
        <v>2021</v>
      </c>
      <c r="CE1" s="39">
        <v>2021</v>
      </c>
      <c r="CF1" s="44" t="s">
        <v>255</v>
      </c>
      <c r="CG1" s="44" t="s">
        <v>255</v>
      </c>
    </row>
    <row r="2" spans="1:175" s="2" customFormat="1" ht="10.5" customHeight="1" thickBot="1" x14ac:dyDescent="0.25">
      <c r="A2" s="635"/>
      <c r="B2" s="719" t="s">
        <v>155</v>
      </c>
      <c r="C2" s="720"/>
      <c r="D2" s="632" t="s">
        <v>173</v>
      </c>
      <c r="E2" s="633"/>
      <c r="F2" s="93" t="s">
        <v>53</v>
      </c>
      <c r="G2" s="90" t="s">
        <v>54</v>
      </c>
      <c r="H2" s="90" t="s">
        <v>6</v>
      </c>
      <c r="I2" s="91" t="s">
        <v>7</v>
      </c>
      <c r="J2" s="92" t="s">
        <v>214</v>
      </c>
      <c r="K2" s="93" t="s">
        <v>4</v>
      </c>
      <c r="L2" s="90" t="s">
        <v>5</v>
      </c>
      <c r="M2" s="90" t="s">
        <v>6</v>
      </c>
      <c r="N2" s="91" t="s">
        <v>7</v>
      </c>
      <c r="O2" s="92" t="s">
        <v>214</v>
      </c>
      <c r="P2" s="93" t="s">
        <v>4</v>
      </c>
      <c r="Q2" s="90" t="s">
        <v>5</v>
      </c>
      <c r="R2" s="90" t="s">
        <v>6</v>
      </c>
      <c r="S2" s="91" t="s">
        <v>7</v>
      </c>
      <c r="T2" s="156" t="s">
        <v>214</v>
      </c>
      <c r="U2" s="640" t="s">
        <v>254</v>
      </c>
      <c r="V2" s="641"/>
      <c r="W2" s="642"/>
      <c r="X2" s="171"/>
      <c r="Y2" s="513" t="s">
        <v>215</v>
      </c>
      <c r="Z2" s="47" t="s">
        <v>216</v>
      </c>
      <c r="AA2" s="48" t="s">
        <v>224</v>
      </c>
      <c r="AB2" s="48" t="s">
        <v>217</v>
      </c>
      <c r="AC2" s="49" t="s">
        <v>223</v>
      </c>
      <c r="AD2" s="49" t="s">
        <v>14</v>
      </c>
      <c r="AE2" s="48" t="s">
        <v>0</v>
      </c>
      <c r="AF2" s="48" t="s">
        <v>218</v>
      </c>
      <c r="AG2" s="48" t="s">
        <v>219</v>
      </c>
      <c r="AH2" s="49" t="s">
        <v>223</v>
      </c>
      <c r="AI2" s="49" t="s">
        <v>14</v>
      </c>
      <c r="AJ2" s="48" t="s">
        <v>220</v>
      </c>
      <c r="AK2" s="48" t="s">
        <v>1</v>
      </c>
      <c r="AL2" s="48" t="s">
        <v>2</v>
      </c>
      <c r="AM2" s="49" t="s">
        <v>223</v>
      </c>
      <c r="AN2" s="49" t="s">
        <v>14</v>
      </c>
      <c r="AO2" s="48" t="s">
        <v>221</v>
      </c>
      <c r="AP2" s="48" t="s">
        <v>3</v>
      </c>
      <c r="AQ2" s="48" t="s">
        <v>222</v>
      </c>
      <c r="AR2" s="49" t="s">
        <v>223</v>
      </c>
      <c r="AS2" s="49" t="s">
        <v>14</v>
      </c>
      <c r="AT2" s="47" t="s">
        <v>216</v>
      </c>
      <c r="AU2" s="48" t="s">
        <v>224</v>
      </c>
      <c r="AV2" s="48" t="s">
        <v>217</v>
      </c>
      <c r="AW2" s="49" t="s">
        <v>223</v>
      </c>
      <c r="AX2" s="49" t="s">
        <v>14</v>
      </c>
      <c r="AY2" s="48" t="s">
        <v>0</v>
      </c>
      <c r="AZ2" s="48" t="s">
        <v>218</v>
      </c>
      <c r="BA2" s="48" t="s">
        <v>219</v>
      </c>
      <c r="BB2" s="49" t="s">
        <v>223</v>
      </c>
      <c r="BC2" s="49" t="s">
        <v>14</v>
      </c>
      <c r="BD2" s="48" t="s">
        <v>220</v>
      </c>
      <c r="BE2" s="48" t="s">
        <v>1</v>
      </c>
      <c r="BF2" s="48" t="s">
        <v>2</v>
      </c>
      <c r="BG2" s="49" t="s">
        <v>223</v>
      </c>
      <c r="BH2" s="49" t="s">
        <v>14</v>
      </c>
      <c r="BI2" s="48" t="s">
        <v>221</v>
      </c>
      <c r="BJ2" s="48" t="s">
        <v>3</v>
      </c>
      <c r="BK2" s="48" t="s">
        <v>222</v>
      </c>
      <c r="BL2" s="49" t="s">
        <v>223</v>
      </c>
      <c r="BM2" s="49" t="s">
        <v>14</v>
      </c>
      <c r="BN2" s="47" t="s">
        <v>216</v>
      </c>
      <c r="BO2" s="48" t="s">
        <v>224</v>
      </c>
      <c r="BP2" s="48" t="s">
        <v>217</v>
      </c>
      <c r="BQ2" s="49" t="s">
        <v>223</v>
      </c>
      <c r="BR2" s="49" t="s">
        <v>14</v>
      </c>
      <c r="BS2" s="48" t="s">
        <v>0</v>
      </c>
      <c r="BT2" s="48" t="s">
        <v>218</v>
      </c>
      <c r="BU2" s="48" t="s">
        <v>219</v>
      </c>
      <c r="BV2" s="49" t="s">
        <v>223</v>
      </c>
      <c r="BW2" s="49" t="s">
        <v>14</v>
      </c>
      <c r="BX2" s="48" t="s">
        <v>220</v>
      </c>
      <c r="BY2" s="48" t="s">
        <v>1</v>
      </c>
      <c r="BZ2" s="48" t="s">
        <v>2</v>
      </c>
      <c r="CA2" s="49" t="s">
        <v>223</v>
      </c>
      <c r="CB2" s="49" t="s">
        <v>14</v>
      </c>
      <c r="CC2" s="48" t="s">
        <v>221</v>
      </c>
      <c r="CD2" s="48" t="s">
        <v>3</v>
      </c>
      <c r="CE2" s="48" t="s">
        <v>222</v>
      </c>
      <c r="CF2" s="49" t="s">
        <v>223</v>
      </c>
      <c r="CG2" s="49" t="s">
        <v>14</v>
      </c>
    </row>
    <row r="3" spans="1:175" s="34" customFormat="1" ht="10.5" customHeight="1" x14ac:dyDescent="0.15">
      <c r="A3" s="50" t="s">
        <v>174</v>
      </c>
      <c r="B3" s="287"/>
      <c r="C3" s="288"/>
      <c r="D3" s="287"/>
      <c r="E3" s="289"/>
      <c r="F3" s="227"/>
      <c r="G3" s="206"/>
      <c r="H3" s="206"/>
      <c r="I3" s="206"/>
      <c r="J3" s="248"/>
      <c r="K3" s="206"/>
      <c r="L3" s="206"/>
      <c r="M3" s="206"/>
      <c r="N3" s="206"/>
      <c r="O3" s="316"/>
      <c r="P3" s="206"/>
      <c r="Q3" s="206"/>
      <c r="R3" s="206"/>
      <c r="S3" s="206"/>
      <c r="T3" s="246"/>
      <c r="U3" s="247"/>
      <c r="V3" s="248"/>
      <c r="W3" s="249"/>
      <c r="X3" s="209"/>
      <c r="Y3" s="496"/>
      <c r="Z3" s="206"/>
      <c r="AA3" s="206"/>
      <c r="AB3" s="206"/>
      <c r="AC3" s="248"/>
      <c r="AD3" s="207"/>
      <c r="AE3" s="206"/>
      <c r="AF3" s="206"/>
      <c r="AG3" s="206"/>
      <c r="AH3" s="248"/>
      <c r="AI3" s="207"/>
      <c r="AJ3" s="206"/>
      <c r="AK3" s="206"/>
      <c r="AL3" s="206"/>
      <c r="AM3" s="248"/>
      <c r="AN3" s="207"/>
      <c r="AO3" s="206"/>
      <c r="AP3" s="206"/>
      <c r="AQ3" s="206"/>
      <c r="AR3" s="248"/>
      <c r="AS3" s="207"/>
      <c r="AT3" s="206"/>
      <c r="AU3" s="206"/>
      <c r="AV3" s="206"/>
      <c r="AW3" s="248"/>
      <c r="AX3" s="207"/>
      <c r="AY3" s="206"/>
      <c r="AZ3" s="206"/>
      <c r="BA3" s="206"/>
      <c r="BB3" s="248"/>
      <c r="BC3" s="207"/>
      <c r="BD3" s="206"/>
      <c r="BE3" s="206"/>
      <c r="BF3" s="206"/>
      <c r="BG3" s="248"/>
      <c r="BH3" s="207"/>
      <c r="BI3" s="206"/>
      <c r="BJ3" s="206"/>
      <c r="BK3" s="206"/>
      <c r="BL3" s="248"/>
      <c r="BM3" s="207"/>
      <c r="BN3" s="206"/>
      <c r="BO3" s="206"/>
      <c r="BP3" s="206"/>
      <c r="BQ3" s="248"/>
      <c r="BR3" s="207"/>
      <c r="BS3" s="206"/>
      <c r="BT3" s="206"/>
      <c r="BU3" s="206"/>
      <c r="BV3" s="248"/>
      <c r="BW3" s="207"/>
      <c r="BX3" s="206"/>
      <c r="BY3" s="206"/>
      <c r="BZ3" s="206"/>
      <c r="CA3" s="248"/>
      <c r="CB3" s="207"/>
      <c r="CC3" s="206"/>
      <c r="CD3" s="206"/>
      <c r="CE3" s="206"/>
      <c r="CF3" s="248"/>
      <c r="CG3" s="208"/>
    </row>
    <row r="4" spans="1:175" s="9" customFormat="1" ht="9.75" customHeight="1" x14ac:dyDescent="0.15">
      <c r="A4" s="51" t="s">
        <v>175</v>
      </c>
      <c r="B4" s="290">
        <f>B45</f>
        <v>0.3</v>
      </c>
      <c r="C4" s="291">
        <f>C45</f>
        <v>10000000</v>
      </c>
      <c r="D4" s="643" t="s">
        <v>210</v>
      </c>
      <c r="E4" s="644"/>
      <c r="F4" s="228">
        <f>SUM(1000/G44)</f>
        <v>200</v>
      </c>
      <c r="G4" s="98">
        <f>SUM((F45+F46)/G44)</f>
        <v>200</v>
      </c>
      <c r="H4" s="98">
        <f>SUM((G45+G46)/H44)</f>
        <v>2333.333333333333</v>
      </c>
      <c r="I4" s="98">
        <f>SUM((H45+H46)/I44)</f>
        <v>2000</v>
      </c>
      <c r="J4" s="251">
        <f>SUM(F4+G4+H4+I4)*3</f>
        <v>14200</v>
      </c>
      <c r="K4" s="35">
        <f>SUM((I45+I46)/K44)</f>
        <v>1600.8246397021867</v>
      </c>
      <c r="L4" s="35">
        <f>SUM((K45+K46)/L44)</f>
        <v>2062.7135025149792</v>
      </c>
      <c r="M4" s="35">
        <f>SUM((L45+L46)/M44)</f>
        <v>1988.3130478808366</v>
      </c>
      <c r="N4" s="35">
        <f>SUM((M45+M46)/N44)</f>
        <v>3604.7720029702177</v>
      </c>
      <c r="O4" s="251">
        <f>SUM(K4+L4+M4+N4)*3</f>
        <v>27769.869579204664</v>
      </c>
      <c r="P4" s="35">
        <f>SUM((N45+N46)/P44)</f>
        <v>5895.3281889248447</v>
      </c>
      <c r="Q4" s="35">
        <f>SUM((P45+P46)/Q44)</f>
        <v>9364.9857436964121</v>
      </c>
      <c r="R4" s="35">
        <f>SUM((Q45+Q46)/R44)</f>
        <v>14839.654817639512</v>
      </c>
      <c r="S4" s="35">
        <f>SUM((R45+R46)/S44)</f>
        <v>23572.31380991518</v>
      </c>
      <c r="T4" s="315">
        <f>SUM(P4+Q4+R4+S4)*3</f>
        <v>161016.84768052786</v>
      </c>
      <c r="U4" s="250">
        <f>SUM(U45/U44)</f>
        <v>183496.86684471482</v>
      </c>
      <c r="V4" s="251">
        <f>SUM(V45/V44)</f>
        <v>1578702.1406399021</v>
      </c>
      <c r="W4" s="252">
        <f>SUM(W45/W44)</f>
        <v>2000000</v>
      </c>
      <c r="X4" s="173"/>
      <c r="Y4" s="490">
        <v>0</v>
      </c>
      <c r="Z4" s="35">
        <f>F4</f>
        <v>200</v>
      </c>
      <c r="AA4" s="35">
        <f>F4</f>
        <v>200</v>
      </c>
      <c r="AB4" s="35">
        <f>F4</f>
        <v>200</v>
      </c>
      <c r="AC4" s="251">
        <f>SUM(Z4:AB4)</f>
        <v>600</v>
      </c>
      <c r="AD4" s="43"/>
      <c r="AE4" s="35">
        <f>G4</f>
        <v>200</v>
      </c>
      <c r="AF4" s="35">
        <f>G4</f>
        <v>200</v>
      </c>
      <c r="AG4" s="35">
        <f>G4</f>
        <v>200</v>
      </c>
      <c r="AH4" s="251">
        <f>SUM(AE4:AG4)</f>
        <v>600</v>
      </c>
      <c r="AI4" s="43"/>
      <c r="AJ4" s="35">
        <f>H4</f>
        <v>2333.333333333333</v>
      </c>
      <c r="AK4" s="35">
        <f>H4</f>
        <v>2333.333333333333</v>
      </c>
      <c r="AL4" s="35">
        <f>H4</f>
        <v>2333.333333333333</v>
      </c>
      <c r="AM4" s="251">
        <f>SUM(AJ4:AL4)</f>
        <v>6999.9999999999991</v>
      </c>
      <c r="AN4" s="43"/>
      <c r="AO4" s="35">
        <f>I4</f>
        <v>2000</v>
      </c>
      <c r="AP4" s="35">
        <f>I4</f>
        <v>2000</v>
      </c>
      <c r="AQ4" s="35">
        <f>I4</f>
        <v>2000</v>
      </c>
      <c r="AR4" s="251">
        <f>SUM(AO4:AQ4)</f>
        <v>6000</v>
      </c>
      <c r="AS4" s="43"/>
      <c r="AT4" s="35">
        <f>K4</f>
        <v>1600.8246397021867</v>
      </c>
      <c r="AU4" s="35">
        <f>K4</f>
        <v>1600.8246397021867</v>
      </c>
      <c r="AV4" s="35">
        <f>K4</f>
        <v>1600.8246397021867</v>
      </c>
      <c r="AW4" s="251">
        <f>SUM(AT4:AV4)</f>
        <v>4802.4739191065601</v>
      </c>
      <c r="AX4" s="43"/>
      <c r="AY4" s="35">
        <f>L4</f>
        <v>2062.7135025149792</v>
      </c>
      <c r="AZ4" s="35">
        <f>L4</f>
        <v>2062.7135025149792</v>
      </c>
      <c r="BA4" s="35">
        <f>L4</f>
        <v>2062.7135025149792</v>
      </c>
      <c r="BB4" s="251">
        <f>SUM(AY4:BA4)</f>
        <v>6188.1405075449375</v>
      </c>
      <c r="BC4" s="43"/>
      <c r="BD4" s="35">
        <f>M4</f>
        <v>1988.3130478808366</v>
      </c>
      <c r="BE4" s="35">
        <f>M4</f>
        <v>1988.3130478808366</v>
      </c>
      <c r="BF4" s="35">
        <f>M4</f>
        <v>1988.3130478808366</v>
      </c>
      <c r="BG4" s="251">
        <f>SUM(BD4:BF4)</f>
        <v>5964.9391436425103</v>
      </c>
      <c r="BH4" s="43"/>
      <c r="BI4" s="35">
        <f>N4</f>
        <v>3604.7720029702177</v>
      </c>
      <c r="BJ4" s="35">
        <f>N4</f>
        <v>3604.7720029702177</v>
      </c>
      <c r="BK4" s="35">
        <f>N4</f>
        <v>3604.7720029702177</v>
      </c>
      <c r="BL4" s="251">
        <f>SUM(BI4:BK4)</f>
        <v>10814.316008910653</v>
      </c>
      <c r="BM4" s="43"/>
      <c r="BN4" s="35">
        <f>P4</f>
        <v>5895.3281889248447</v>
      </c>
      <c r="BO4" s="35">
        <f>P4</f>
        <v>5895.3281889248447</v>
      </c>
      <c r="BP4" s="35">
        <f>P4</f>
        <v>5895.3281889248447</v>
      </c>
      <c r="BQ4" s="251">
        <f>SUM(BN4:BP4)</f>
        <v>17685.984566774532</v>
      </c>
      <c r="BR4" s="43"/>
      <c r="BS4" s="35">
        <f>Q4</f>
        <v>9364.9857436964121</v>
      </c>
      <c r="BT4" s="35">
        <f>Q4</f>
        <v>9364.9857436964121</v>
      </c>
      <c r="BU4" s="35">
        <f>Q4</f>
        <v>9364.9857436964121</v>
      </c>
      <c r="BV4" s="251">
        <f>SUM(BS4:BU4)</f>
        <v>28094.957231089236</v>
      </c>
      <c r="BW4" s="43"/>
      <c r="BX4" s="35">
        <f>R4</f>
        <v>14839.654817639512</v>
      </c>
      <c r="BY4" s="35">
        <f>R4</f>
        <v>14839.654817639512</v>
      </c>
      <c r="BZ4" s="35">
        <f>R4</f>
        <v>14839.654817639512</v>
      </c>
      <c r="CA4" s="251">
        <f>SUM(BX4:BZ4)</f>
        <v>44518.964452918532</v>
      </c>
      <c r="CB4" s="43"/>
      <c r="CC4" s="35">
        <f>S4</f>
        <v>23572.31380991518</v>
      </c>
      <c r="CD4" s="35">
        <f>S4</f>
        <v>23572.31380991518</v>
      </c>
      <c r="CE4" s="35">
        <f>S4</f>
        <v>23572.31380991518</v>
      </c>
      <c r="CF4" s="251">
        <f>SUM(CC4:CE4)</f>
        <v>70716.941429745537</v>
      </c>
      <c r="CG4" s="109"/>
    </row>
    <row r="5" spans="1:175" s="9" customFormat="1" ht="9.75" customHeight="1" x14ac:dyDescent="0.15">
      <c r="A5" s="51" t="s">
        <v>176</v>
      </c>
      <c r="B5" s="364">
        <v>200</v>
      </c>
      <c r="C5" s="269">
        <v>0.05</v>
      </c>
      <c r="D5" s="124"/>
      <c r="E5" s="117"/>
      <c r="F5" s="125">
        <v>1500</v>
      </c>
      <c r="G5" s="127">
        <v>2000</v>
      </c>
      <c r="H5" s="35">
        <f>SUM((IF(ISBLANK(D5),B5,D5))+(G5)*(IF(ISBLANK(E5),(1+C5),(1+E5))))</f>
        <v>2300</v>
      </c>
      <c r="I5" s="35">
        <f>SUM((IF(ISBLANK(D5),B5,D5))+(H5)*(IF(ISBLANK(E5),(1+C5),(1+E5))))</f>
        <v>2615</v>
      </c>
      <c r="J5" s="251">
        <f>SUM(F5+G5+H5+I5)*3</f>
        <v>25245</v>
      </c>
      <c r="K5" s="35">
        <f>SUM((IF(ISBLANK(D5),B5,D5))+(I5)*(IF(ISBLANK(E5),(1+C5),(1+E5))))</f>
        <v>2945.75</v>
      </c>
      <c r="L5" s="35">
        <f>SUM((IF(ISBLANK(D5),B5,D5))+(K5)*(IF(ISBLANK(E5),(1+C5),(1+E5))))</f>
        <v>3293.0374999999999</v>
      </c>
      <c r="M5" s="35">
        <f>SUM((IF(ISBLANK(D5),B5,D5))+(L5)*(IF(ISBLANK(E5),(1+C5),(1+E5))))</f>
        <v>3657.6893749999999</v>
      </c>
      <c r="N5" s="35">
        <f>SUM((IF(ISBLANK(D5),B5,D5))+(M5)*(IF(ISBLANK(E5),(1+C5),(1+E5))))</f>
        <v>4040.5738437499999</v>
      </c>
      <c r="O5" s="251">
        <f>SUM(K5+L5+M5+N5)*3</f>
        <v>41811.152156249998</v>
      </c>
      <c r="P5" s="35">
        <f>SUM((IF(ISBLANK(D5),B5,D5))+(N5)*(IF(ISBLANK(E5),(1+C5),(1+E5))))</f>
        <v>4442.6025359374999</v>
      </c>
      <c r="Q5" s="35">
        <f>SUM((IF(ISBLANK(D5),B5,D5))+(P5)*(IF(ISBLANK(E5),(1+C5),(1+E5))))</f>
        <v>4864.7326627343755</v>
      </c>
      <c r="R5" s="35">
        <f>SUM((IF(ISBLANK(D5),B5,D5))+(Q5)*(IF(ISBLANK(E5),(1+C5),(1+E5))))</f>
        <v>5307.9692958710948</v>
      </c>
      <c r="S5" s="35">
        <f>SUM((IF(ISBLANK(D5),B5,D5))+(R5)*(IF(ISBLANK(E5),(1+C5),(1+E5))))</f>
        <v>5773.3677606646497</v>
      </c>
      <c r="T5" s="315">
        <f>SUM(P5+Q5+R5+S5)*3</f>
        <v>61166.016765622859</v>
      </c>
      <c r="U5" s="250">
        <f>SUM((IF(ISBLANK(D5),B5,D5))+(S5)*(IF(ISBLANK(E5),(1+C5),(1+E5))))*12</f>
        <v>75144.433784374589</v>
      </c>
      <c r="V5" s="251">
        <f>SUM((IF(ISBLANK(D5),B5,D5))+(U5)*(IF(ISBLANK(E5),(1+C5),(1+E5))))</f>
        <v>79101.655473593317</v>
      </c>
      <c r="W5" s="252">
        <f>SUM((IF(ISBLANK(D5),B5,D5))+(V5)*(IF(ISBLANK(E5),(1+C5),(1+E5))))</f>
        <v>83256.738247272981</v>
      </c>
      <c r="X5" s="173"/>
      <c r="Y5" s="490">
        <v>2300</v>
      </c>
      <c r="Z5" s="35">
        <f t="shared" ref="Z5:Z7" si="0">F5</f>
        <v>1500</v>
      </c>
      <c r="AA5" s="35">
        <f t="shared" ref="AA5:AA7" si="1">F5</f>
        <v>1500</v>
      </c>
      <c r="AB5" s="35">
        <f t="shared" ref="AB5:AB7" si="2">F5</f>
        <v>1500</v>
      </c>
      <c r="AC5" s="251">
        <f>SUM(Z5:AB5)</f>
        <v>4500</v>
      </c>
      <c r="AD5" s="43"/>
      <c r="AE5" s="35">
        <f t="shared" ref="AE5:AE7" si="3">G5</f>
        <v>2000</v>
      </c>
      <c r="AF5" s="35">
        <f t="shared" ref="AF5:AF7" si="4">G5</f>
        <v>2000</v>
      </c>
      <c r="AG5" s="35">
        <f t="shared" ref="AG5:AG7" si="5">G5</f>
        <v>2000</v>
      </c>
      <c r="AH5" s="251">
        <f>SUM(AE5:AG5)</f>
        <v>6000</v>
      </c>
      <c r="AI5" s="43"/>
      <c r="AJ5" s="35">
        <f t="shared" ref="AJ5:AJ7" si="6">H5</f>
        <v>2300</v>
      </c>
      <c r="AK5" s="35">
        <f t="shared" ref="AK5:AK7" si="7">H5</f>
        <v>2300</v>
      </c>
      <c r="AL5" s="35">
        <f t="shared" ref="AL5:AL7" si="8">H5</f>
        <v>2300</v>
      </c>
      <c r="AM5" s="251">
        <f>SUM(AJ5:AL5)</f>
        <v>6900</v>
      </c>
      <c r="AN5" s="43"/>
      <c r="AO5" s="35">
        <f>I5</f>
        <v>2615</v>
      </c>
      <c r="AP5" s="35">
        <f>I5</f>
        <v>2615</v>
      </c>
      <c r="AQ5" s="35">
        <f>I5</f>
        <v>2615</v>
      </c>
      <c r="AR5" s="251">
        <f>SUM(AO5:AQ5)</f>
        <v>7845</v>
      </c>
      <c r="AS5" s="43"/>
      <c r="AT5" s="35">
        <f>K5</f>
        <v>2945.75</v>
      </c>
      <c r="AU5" s="35">
        <f>K5</f>
        <v>2945.75</v>
      </c>
      <c r="AV5" s="35">
        <f>K5</f>
        <v>2945.75</v>
      </c>
      <c r="AW5" s="251">
        <f>SUM(AT5:AV5)</f>
        <v>8837.25</v>
      </c>
      <c r="AX5" s="43"/>
      <c r="AY5" s="35">
        <f>L5</f>
        <v>3293.0374999999999</v>
      </c>
      <c r="AZ5" s="35">
        <f>L5</f>
        <v>3293.0374999999999</v>
      </c>
      <c r="BA5" s="35">
        <f>L5</f>
        <v>3293.0374999999999</v>
      </c>
      <c r="BB5" s="251">
        <f>SUM(AY5:BA5)</f>
        <v>9879.1124999999993</v>
      </c>
      <c r="BC5" s="43"/>
      <c r="BD5" s="35">
        <f>M5</f>
        <v>3657.6893749999999</v>
      </c>
      <c r="BE5" s="35">
        <f>M5</f>
        <v>3657.6893749999999</v>
      </c>
      <c r="BF5" s="35">
        <f>M5</f>
        <v>3657.6893749999999</v>
      </c>
      <c r="BG5" s="251">
        <f>SUM(BD5:BF5)</f>
        <v>10973.068125</v>
      </c>
      <c r="BH5" s="43"/>
      <c r="BI5" s="35">
        <f>N5</f>
        <v>4040.5738437499999</v>
      </c>
      <c r="BJ5" s="35">
        <f>N5</f>
        <v>4040.5738437499999</v>
      </c>
      <c r="BK5" s="35">
        <f>N5</f>
        <v>4040.5738437499999</v>
      </c>
      <c r="BL5" s="251">
        <f>SUM(BI5:BK5)</f>
        <v>12121.721531249999</v>
      </c>
      <c r="BM5" s="43"/>
      <c r="BN5" s="35">
        <f>P5</f>
        <v>4442.6025359374999</v>
      </c>
      <c r="BO5" s="35">
        <f>P5</f>
        <v>4442.6025359374999</v>
      </c>
      <c r="BP5" s="35">
        <f>P5</f>
        <v>4442.6025359374999</v>
      </c>
      <c r="BQ5" s="251">
        <f>SUM(BN5:BP5)</f>
        <v>13327.8076078125</v>
      </c>
      <c r="BR5" s="43"/>
      <c r="BS5" s="35">
        <f>Q5</f>
        <v>4864.7326627343755</v>
      </c>
      <c r="BT5" s="35">
        <f>Q5</f>
        <v>4864.7326627343755</v>
      </c>
      <c r="BU5" s="35">
        <f>Q5</f>
        <v>4864.7326627343755</v>
      </c>
      <c r="BV5" s="251">
        <f>SUM(BS5:BU5)</f>
        <v>14594.197988203126</v>
      </c>
      <c r="BW5" s="43"/>
      <c r="BX5" s="35">
        <f>R5</f>
        <v>5307.9692958710948</v>
      </c>
      <c r="BY5" s="35">
        <f>R5</f>
        <v>5307.9692958710948</v>
      </c>
      <c r="BZ5" s="35">
        <f>R5</f>
        <v>5307.9692958710948</v>
      </c>
      <c r="CA5" s="251">
        <f>SUM(BX5:BZ5)</f>
        <v>15923.907887613284</v>
      </c>
      <c r="CB5" s="43"/>
      <c r="CC5" s="35">
        <f>S5</f>
        <v>5773.3677606646497</v>
      </c>
      <c r="CD5" s="35">
        <f>S5</f>
        <v>5773.3677606646497</v>
      </c>
      <c r="CE5" s="35">
        <f>S5</f>
        <v>5773.3677606646497</v>
      </c>
      <c r="CF5" s="251">
        <f>SUM(CC5:CE5)</f>
        <v>17320.10328199395</v>
      </c>
      <c r="CG5" s="109"/>
    </row>
    <row r="6" spans="1:175" s="9" customFormat="1" ht="9.75" customHeight="1" x14ac:dyDescent="0.15">
      <c r="A6" s="484" t="s">
        <v>177</v>
      </c>
      <c r="B6" s="250">
        <v>100</v>
      </c>
      <c r="C6" s="293">
        <v>0.02</v>
      </c>
      <c r="D6" s="125"/>
      <c r="E6" s="117"/>
      <c r="F6" s="125">
        <v>0</v>
      </c>
      <c r="G6" s="127">
        <v>100</v>
      </c>
      <c r="H6" s="35">
        <f>SUM(IF(ISBLANK(D6),B6,D6)+(G18*(IF(ISBLANK(E6),C6,E6))))</f>
        <v>202.38028305815033</v>
      </c>
      <c r="I6" s="35">
        <f>SUM(IF(ISBLANK(D6),B6,D6)+(H18*(IF(ISBLANK(E6),C6,E6))))</f>
        <v>495.09496432822505</v>
      </c>
      <c r="J6" s="251">
        <f>SUM(F6+G6+H6+I6)*3</f>
        <v>2392.425742159126</v>
      </c>
      <c r="K6" s="35">
        <f>SUM(IF(ISBLANK(D6),B6,D6)+(I18*(IF(ISBLANK(E6),C6,E6))))</f>
        <v>771.70004256191157</v>
      </c>
      <c r="L6" s="35">
        <f>SUM(IF(ISBLANK(D6),B6,D6)+(K18*(IF(ISBLANK(E6),C6,E6))))</f>
        <v>1019.7994593266724</v>
      </c>
      <c r="M6" s="35">
        <f>SUM(IF(ISBLANK(D6),B6,D6)+(L18*(IF(ISBLANK(E6),C6,E6))))</f>
        <v>1321.7126857639325</v>
      </c>
      <c r="N6" s="35">
        <f>SUM(IF(ISBLANK(D6),B6,D6)+(M18*(IF(ISBLANK(E6),C6,E6))))</f>
        <v>1670.3653548724033</v>
      </c>
      <c r="O6" s="251">
        <f>SUM(K6+L6+M6+N6)*3</f>
        <v>14350.732627574758</v>
      </c>
      <c r="P6" s="35">
        <f>SUM(IF(ISBLANK(D6),B6,D6)+(N18*(IF(ISBLANK(E6),C6,E6))))</f>
        <v>2185.778859278892</v>
      </c>
      <c r="Q6" s="35">
        <f>SUM(IF(ISBLANK(D6),B6,D6)+(P18*(IF(ISBLANK(E6),C6,E6))))</f>
        <v>2941.5729382879213</v>
      </c>
      <c r="R6" s="35">
        <f>SUM(IF(ISBLANK(D6),B6,D6)+(Q18*(IF(ISBLANK(E6),C6,E6))))</f>
        <v>4063.9798602688243</v>
      </c>
      <c r="S6" s="35">
        <f>SUM(IF(ISBLANK(D6),B6,D6)+(R18*(IF(ISBLANK(E6),C6,E6))))</f>
        <v>5767.3476577742304</v>
      </c>
      <c r="T6" s="315">
        <f>SUM(P6+Q6+R6+S6)*3</f>
        <v>44876.037946829601</v>
      </c>
      <c r="U6" s="250">
        <f>SUM(IF(ISBLANK(D6),B6,D6)+(S18*(IF(ISBLANK(E6),C6,E6))))*12</f>
        <v>100918.52827611801</v>
      </c>
      <c r="V6" s="251">
        <f>SUM(IF(ISBLANK(D6),B6,D6)+(U18*(IF(ISBLANK(E6),C6,E6))))*12</f>
        <v>219447.66319214023</v>
      </c>
      <c r="W6" s="252">
        <f>SUM(IF(ISBLANK(D6),B6,D6)+(V18*(IF(ISBLANK(E6),C6,E6))))*12</f>
        <v>705643.65364951664</v>
      </c>
      <c r="X6" s="173"/>
      <c r="Y6" s="490">
        <v>0</v>
      </c>
      <c r="Z6" s="35">
        <f t="shared" si="0"/>
        <v>0</v>
      </c>
      <c r="AA6" s="35">
        <f t="shared" si="1"/>
        <v>0</v>
      </c>
      <c r="AB6" s="35">
        <f t="shared" si="2"/>
        <v>0</v>
      </c>
      <c r="AC6" s="251">
        <f t="shared" ref="AC6:AC17" si="9">SUM(Z6:AB6)</f>
        <v>0</v>
      </c>
      <c r="AD6" s="43"/>
      <c r="AE6" s="35">
        <f t="shared" si="3"/>
        <v>100</v>
      </c>
      <c r="AF6" s="35">
        <f t="shared" si="4"/>
        <v>100</v>
      </c>
      <c r="AG6" s="35">
        <f t="shared" si="5"/>
        <v>100</v>
      </c>
      <c r="AH6" s="251">
        <f t="shared" ref="AH6:AH17" si="10">SUM(AE6:AG6)</f>
        <v>300</v>
      </c>
      <c r="AI6" s="43"/>
      <c r="AJ6" s="35">
        <f t="shared" si="6"/>
        <v>202.38028305815033</v>
      </c>
      <c r="AK6" s="35">
        <f t="shared" si="7"/>
        <v>202.38028305815033</v>
      </c>
      <c r="AL6" s="35">
        <f t="shared" si="8"/>
        <v>202.38028305815033</v>
      </c>
      <c r="AM6" s="251">
        <f t="shared" ref="AM6:AM17" si="11">SUM(AJ6:AL6)</f>
        <v>607.14084917445098</v>
      </c>
      <c r="AN6" s="43"/>
      <c r="AO6" s="35">
        <f t="shared" ref="AO6:AO7" si="12">I6</f>
        <v>495.09496432822505</v>
      </c>
      <c r="AP6" s="35">
        <f t="shared" ref="AP6:AP7" si="13">I6</f>
        <v>495.09496432822505</v>
      </c>
      <c r="AQ6" s="35">
        <f t="shared" ref="AQ6:AQ7" si="14">I6</f>
        <v>495.09496432822505</v>
      </c>
      <c r="AR6" s="251">
        <f t="shared" ref="AR6:AR17" si="15">SUM(AO6:AQ6)</f>
        <v>1485.284892984675</v>
      </c>
      <c r="AS6" s="43"/>
      <c r="AT6" s="35">
        <f t="shared" ref="AT6:AT7" si="16">K6</f>
        <v>771.70004256191157</v>
      </c>
      <c r="AU6" s="35">
        <f t="shared" ref="AU6:AU7" si="17">K6</f>
        <v>771.70004256191157</v>
      </c>
      <c r="AV6" s="35">
        <f t="shared" ref="AV6:AV7" si="18">K6</f>
        <v>771.70004256191157</v>
      </c>
      <c r="AW6" s="251">
        <f t="shared" ref="AW6:AW17" si="19">SUM(AT6:AV6)</f>
        <v>2315.1001276857346</v>
      </c>
      <c r="AX6" s="43"/>
      <c r="AY6" s="35">
        <f t="shared" ref="AY6:AY7" si="20">L6</f>
        <v>1019.7994593266724</v>
      </c>
      <c r="AZ6" s="35">
        <f t="shared" ref="AZ6:AZ7" si="21">L6</f>
        <v>1019.7994593266724</v>
      </c>
      <c r="BA6" s="35">
        <f t="shared" ref="BA6:BA7" si="22">L6</f>
        <v>1019.7994593266724</v>
      </c>
      <c r="BB6" s="251">
        <f t="shared" ref="BB6:BB17" si="23">SUM(AY6:BA6)</f>
        <v>3059.3983779800174</v>
      </c>
      <c r="BC6" s="43"/>
      <c r="BD6" s="35">
        <f t="shared" ref="BD6:BD7" si="24">M6</f>
        <v>1321.7126857639325</v>
      </c>
      <c r="BE6" s="35">
        <f t="shared" ref="BE6:BE7" si="25">M6</f>
        <v>1321.7126857639325</v>
      </c>
      <c r="BF6" s="35">
        <f t="shared" ref="BF6:BF7" si="26">M6</f>
        <v>1321.7126857639325</v>
      </c>
      <c r="BG6" s="251">
        <f t="shared" ref="BG6:BG17" si="27">SUM(BD6:BF6)</f>
        <v>3965.1380572917978</v>
      </c>
      <c r="BH6" s="43"/>
      <c r="BI6" s="35">
        <f t="shared" ref="BI6:BI7" si="28">N6</f>
        <v>1670.3653548724033</v>
      </c>
      <c r="BJ6" s="35">
        <f t="shared" ref="BJ6" si="29">N6</f>
        <v>1670.3653548724033</v>
      </c>
      <c r="BK6" s="35">
        <f t="shared" ref="BK6:BK7" si="30">N6</f>
        <v>1670.3653548724033</v>
      </c>
      <c r="BL6" s="251">
        <f t="shared" ref="BL6:BL8" si="31">SUM(BI6:BK6)</f>
        <v>5011.0960646172098</v>
      </c>
      <c r="BM6" s="43"/>
      <c r="BN6" s="35">
        <f t="shared" ref="BN6:BN7" si="32">P6</f>
        <v>2185.778859278892</v>
      </c>
      <c r="BO6" s="35">
        <f t="shared" ref="BO6:BO7" si="33">P6</f>
        <v>2185.778859278892</v>
      </c>
      <c r="BP6" s="35">
        <f t="shared" ref="BP6:BP7" si="34">P6</f>
        <v>2185.778859278892</v>
      </c>
      <c r="BQ6" s="251">
        <f t="shared" ref="BQ6:BQ8" si="35">SUM(BN6:BP6)</f>
        <v>6557.336577836676</v>
      </c>
      <c r="BR6" s="43"/>
      <c r="BS6" s="35">
        <f t="shared" ref="BS6:BS7" si="36">Q6</f>
        <v>2941.5729382879213</v>
      </c>
      <c r="BT6" s="35">
        <f t="shared" ref="BT6:BT7" si="37">Q6</f>
        <v>2941.5729382879213</v>
      </c>
      <c r="BU6" s="35">
        <f t="shared" ref="BU6:BU7" si="38">Q6</f>
        <v>2941.5729382879213</v>
      </c>
      <c r="BV6" s="251">
        <f t="shared" ref="BV6:BV8" si="39">SUM(BS6:BU6)</f>
        <v>8824.7188148637633</v>
      </c>
      <c r="BW6" s="43"/>
      <c r="BX6" s="35">
        <f t="shared" ref="BX6:BX7" si="40">R6</f>
        <v>4063.9798602688243</v>
      </c>
      <c r="BY6" s="35">
        <f t="shared" ref="BY6:BY7" si="41">R6</f>
        <v>4063.9798602688243</v>
      </c>
      <c r="BZ6" s="35">
        <f t="shared" ref="BZ6" si="42">R6</f>
        <v>4063.9798602688243</v>
      </c>
      <c r="CA6" s="251">
        <f t="shared" ref="CA6:CA7" si="43">SUM(BX6:BZ6)</f>
        <v>12191.939580806473</v>
      </c>
      <c r="CB6" s="43"/>
      <c r="CC6" s="35">
        <f t="shared" ref="CC6:CC7" si="44">S6</f>
        <v>5767.3476577742304</v>
      </c>
      <c r="CD6" s="35">
        <f t="shared" ref="CD6:CD7" si="45">S6</f>
        <v>5767.3476577742304</v>
      </c>
      <c r="CE6" s="35">
        <f t="shared" ref="CE6:CE7" si="46">S6</f>
        <v>5767.3476577742304</v>
      </c>
      <c r="CF6" s="251">
        <f t="shared" ref="CF6:CF8" si="47">SUM(CC6:CE6)</f>
        <v>17302.042973322692</v>
      </c>
      <c r="CG6" s="109"/>
    </row>
    <row r="7" spans="1:175" s="9" customFormat="1" ht="9.75" customHeight="1" x14ac:dyDescent="0.15">
      <c r="A7" s="51" t="s">
        <v>178</v>
      </c>
      <c r="B7" s="250">
        <v>0</v>
      </c>
      <c r="C7" s="269">
        <v>2E-3</v>
      </c>
      <c r="D7" s="125"/>
      <c r="E7" s="117"/>
      <c r="F7" s="125">
        <v>0</v>
      </c>
      <c r="G7" s="127">
        <v>0</v>
      </c>
      <c r="H7" s="127">
        <v>0</v>
      </c>
      <c r="I7" s="127">
        <v>0</v>
      </c>
      <c r="J7" s="251">
        <f>SUM((F7+G7+H7+I7)*3)</f>
        <v>0</v>
      </c>
      <c r="K7" s="35">
        <f>SUM(IF(ISBLANK(D7),B7,D7)+(I18*(IF(ISBLANK(E7),C7,E7))))</f>
        <v>67.170004256191149</v>
      </c>
      <c r="L7" s="35">
        <f>SUM(IF(ISBLANK(D7),B7,D7)+(K18*(IF(ISBLANK(E7),C7,E7))))</f>
        <v>91.979945932667235</v>
      </c>
      <c r="M7" s="35">
        <f>SUM(IF(ISBLANK(D7),B7,D7)+(L18*(IF(ISBLANK(E7),C7,E7))))</f>
        <v>122.17126857639326</v>
      </c>
      <c r="N7" s="35">
        <f>SUM(IF(ISBLANK(D7),B7,D7)+(M18*(IF(ISBLANK(E7),C7,E7))))</f>
        <v>157.03653548724034</v>
      </c>
      <c r="O7" s="251">
        <f>SUM(K7+L7+M7+N7)*3</f>
        <v>1315.073262757476</v>
      </c>
      <c r="P7" s="35">
        <f>SUM(IF(ISBLANK(D7),B7,D7)+(N18*(IF(ISBLANK(E7),C7,E7))))</f>
        <v>208.57788592788918</v>
      </c>
      <c r="Q7" s="35">
        <f>SUM(IF(ISBLANK(D7),B7,D7)+(P18*(IF(ISBLANK(E7),C7,E7))))</f>
        <v>284.15729382879209</v>
      </c>
      <c r="R7" s="35">
        <f>SUM(IF(ISBLANK(D7),B7,D7)+(Q18*(IF(ISBLANK(E7),C7,E7))))</f>
        <v>396.39798602688245</v>
      </c>
      <c r="S7" s="35">
        <f>SUM(IF(ISBLANK(D7),B7,D7)+(R18*(IF(ISBLANK(E7),C7,E7))))</f>
        <v>566.73476577742304</v>
      </c>
      <c r="T7" s="315">
        <f>SUM(P7+Q7+R7+S7)*3</f>
        <v>4367.6037946829601</v>
      </c>
      <c r="U7" s="250">
        <f>SUM(IF(ISBLANK(D7),B7,D7)+(S18*(IF(ISBLANK(E7),C7,E7))))*12</f>
        <v>9971.8528276117995</v>
      </c>
      <c r="V7" s="251">
        <f>SUM(IF(ISBLANK(D7),B7,D7)+(U18*(IF(ISBLANK(E7),C7,E7))))*12</f>
        <v>21824.766319214021</v>
      </c>
      <c r="W7" s="252">
        <f>SUM(IF(ISBLANK(D7),B7,D7)+(V18*(IF(ISBLANK(E7),C7,E7))))*12</f>
        <v>70444.365364951664</v>
      </c>
      <c r="X7" s="173"/>
      <c r="Y7" s="490">
        <v>0</v>
      </c>
      <c r="Z7" s="35">
        <f t="shared" si="0"/>
        <v>0</v>
      </c>
      <c r="AA7" s="35">
        <f t="shared" si="1"/>
        <v>0</v>
      </c>
      <c r="AB7" s="35">
        <f t="shared" si="2"/>
        <v>0</v>
      </c>
      <c r="AC7" s="251">
        <f t="shared" si="9"/>
        <v>0</v>
      </c>
      <c r="AD7" s="43"/>
      <c r="AE7" s="35">
        <f t="shared" si="3"/>
        <v>0</v>
      </c>
      <c r="AF7" s="35">
        <f t="shared" si="4"/>
        <v>0</v>
      </c>
      <c r="AG7" s="35">
        <f t="shared" si="5"/>
        <v>0</v>
      </c>
      <c r="AH7" s="251">
        <f t="shared" si="10"/>
        <v>0</v>
      </c>
      <c r="AI7" s="43"/>
      <c r="AJ7" s="35">
        <f t="shared" si="6"/>
        <v>0</v>
      </c>
      <c r="AK7" s="35">
        <f t="shared" si="7"/>
        <v>0</v>
      </c>
      <c r="AL7" s="35">
        <f t="shared" si="8"/>
        <v>0</v>
      </c>
      <c r="AM7" s="251">
        <f t="shared" si="11"/>
        <v>0</v>
      </c>
      <c r="AN7" s="43"/>
      <c r="AO7" s="35">
        <f t="shared" si="12"/>
        <v>0</v>
      </c>
      <c r="AP7" s="35">
        <f t="shared" si="13"/>
        <v>0</v>
      </c>
      <c r="AQ7" s="35">
        <f t="shared" si="14"/>
        <v>0</v>
      </c>
      <c r="AR7" s="251">
        <f t="shared" si="15"/>
        <v>0</v>
      </c>
      <c r="AS7" s="43"/>
      <c r="AT7" s="35">
        <f t="shared" si="16"/>
        <v>67.170004256191149</v>
      </c>
      <c r="AU7" s="35">
        <f t="shared" si="17"/>
        <v>67.170004256191149</v>
      </c>
      <c r="AV7" s="35">
        <f t="shared" si="18"/>
        <v>67.170004256191149</v>
      </c>
      <c r="AW7" s="251">
        <f t="shared" si="19"/>
        <v>201.51001276857346</v>
      </c>
      <c r="AX7" s="43"/>
      <c r="AY7" s="35">
        <f t="shared" si="20"/>
        <v>91.979945932667235</v>
      </c>
      <c r="AZ7" s="35">
        <f t="shared" si="21"/>
        <v>91.979945932667235</v>
      </c>
      <c r="BA7" s="35">
        <f t="shared" si="22"/>
        <v>91.979945932667235</v>
      </c>
      <c r="BB7" s="251">
        <f t="shared" si="23"/>
        <v>275.93983779800169</v>
      </c>
      <c r="BC7" s="43"/>
      <c r="BD7" s="35">
        <f t="shared" si="24"/>
        <v>122.17126857639326</v>
      </c>
      <c r="BE7" s="35">
        <f t="shared" si="25"/>
        <v>122.17126857639326</v>
      </c>
      <c r="BF7" s="35">
        <f t="shared" si="26"/>
        <v>122.17126857639326</v>
      </c>
      <c r="BG7" s="251">
        <f t="shared" si="27"/>
        <v>366.51380572917981</v>
      </c>
      <c r="BH7" s="43"/>
      <c r="BI7" s="35">
        <f t="shared" si="28"/>
        <v>157.03653548724034</v>
      </c>
      <c r="BJ7" s="35">
        <f>N7</f>
        <v>157.03653548724034</v>
      </c>
      <c r="BK7" s="35">
        <f t="shared" si="30"/>
        <v>157.03653548724034</v>
      </c>
      <c r="BL7" s="251">
        <f t="shared" si="31"/>
        <v>471.109606461721</v>
      </c>
      <c r="BM7" s="43"/>
      <c r="BN7" s="35">
        <f t="shared" si="32"/>
        <v>208.57788592788918</v>
      </c>
      <c r="BO7" s="35">
        <f t="shared" si="33"/>
        <v>208.57788592788918</v>
      </c>
      <c r="BP7" s="35">
        <f t="shared" si="34"/>
        <v>208.57788592788918</v>
      </c>
      <c r="BQ7" s="251">
        <f t="shared" si="35"/>
        <v>625.73365778366758</v>
      </c>
      <c r="BR7" s="43"/>
      <c r="BS7" s="35">
        <f t="shared" si="36"/>
        <v>284.15729382879209</v>
      </c>
      <c r="BT7" s="35">
        <f t="shared" si="37"/>
        <v>284.15729382879209</v>
      </c>
      <c r="BU7" s="35">
        <f t="shared" si="38"/>
        <v>284.15729382879209</v>
      </c>
      <c r="BV7" s="251">
        <f t="shared" si="39"/>
        <v>852.47188148637633</v>
      </c>
      <c r="BW7" s="43"/>
      <c r="BX7" s="35">
        <f t="shared" si="40"/>
        <v>396.39798602688245</v>
      </c>
      <c r="BY7" s="35">
        <f t="shared" si="41"/>
        <v>396.39798602688245</v>
      </c>
      <c r="BZ7" s="35">
        <f>R7</f>
        <v>396.39798602688245</v>
      </c>
      <c r="CA7" s="251">
        <f t="shared" si="43"/>
        <v>1189.1939580806475</v>
      </c>
      <c r="CB7" s="43"/>
      <c r="CC7" s="35">
        <f t="shared" si="44"/>
        <v>566.73476577742304</v>
      </c>
      <c r="CD7" s="35">
        <f t="shared" si="45"/>
        <v>566.73476577742304</v>
      </c>
      <c r="CE7" s="35">
        <f t="shared" si="46"/>
        <v>566.73476577742304</v>
      </c>
      <c r="CF7" s="251">
        <f t="shared" si="47"/>
        <v>1700.2042973322691</v>
      </c>
      <c r="CG7" s="109"/>
    </row>
    <row r="8" spans="1:175" s="9" customFormat="1" ht="9.75" customHeight="1" thickBot="1" x14ac:dyDescent="0.2">
      <c r="A8" s="229" t="s">
        <v>179</v>
      </c>
      <c r="B8" s="294">
        <v>5000000</v>
      </c>
      <c r="C8" s="369">
        <v>100000000</v>
      </c>
      <c r="D8" s="230"/>
      <c r="E8" s="231"/>
      <c r="F8" s="232">
        <f>SUM(IF(((1-(Y18/(IF(ISBLANK(D8),B8,(IF(D8=0,9.99999999999999E+29,D8))))))*SUM(F4:F7))&lt;0,0,((1-(Y18/(IF(ISBLANK(D8),B8,(IF(D8=0,9.99999999999999E+29,D8))))))*SUM(F4:F7))))</f>
        <v>1699.49</v>
      </c>
      <c r="G8" s="233">
        <f>SUM(IF(((1-(F18/(IF(ISBLANK(D8),B8,(IF(D8=0,9.99999999999999E+29,D8))))))*SUM(G4:G7))&lt;0,0,((1-(F18/(IF(ISBLANK(D8),B8,(IF(D8=0,9.99999999999999E+29,D8))))))*SUM(G4:G7))))</f>
        <v>2299.0132015260306</v>
      </c>
      <c r="H8" s="233">
        <f>SUM(IF(((1-(G18/(IF(ISBLANK(D8),B8,(IF(D8=0,9.99999999999999E+29,D8))))))*SUM(H4:H7))&lt;0,0,((1-(G18/(IF(ISBLANK(D8),B8,(IF(D8=0,9.99999999999999E+29,D8))))))*SUM(H4:H7))))</f>
        <v>4830.7627991031413</v>
      </c>
      <c r="I8" s="233">
        <f>SUM(IF(((1-(H18/(IF(ISBLANK(D8),B8,(IF(D8=0,9.99999999999999E+29,D8))))))*SUM(I4:I7))&lt;0,0,((1-(H18/(IF(ISBLANK(D8),B8,(IF(D8=0,9.99999999999999E+29,D8))))))*SUM(I4:I7))))</f>
        <v>5089.9052364517738</v>
      </c>
      <c r="J8" s="255">
        <f t="shared" ref="J8" si="48">SUM(F8:I8)*3</f>
        <v>41757.513711242835</v>
      </c>
      <c r="K8" s="233">
        <f>SUM(IF(((1-(I18/(IF(ISBLANK(E8),C8,(IF(E8=0,9.99999999999999E+29,E8))))))*SUM(K4:K7))&lt;0,0,((1-(I18/(IF(ISBLANK(E8),C8,(IF(E8=0,9.99999999999999E+29,E8))))))*SUM(K4:K7))))</f>
        <v>5383.6359848077145</v>
      </c>
      <c r="L8" s="233">
        <f>SUM(IF(((1-(K18/(IF(ISBLANK(E8),C8,(IF(E8=0,9.99999999999999E+29,E8))))))*SUM(L4:L7))&lt;0,0,((1-(K18/(IF(ISBLANK(E8),C8,(IF(E8=0,9.99999999999999E+29,E8))))))*SUM(L4:L7))))</f>
        <v>6464.555992288193</v>
      </c>
      <c r="M8" s="233">
        <f>SUM(IF(((1-(L18/(IF(ISBLANK(E8),C8,(IF(E8=0,9.99999999999999E+29,E8))))))*SUM(M4:M7))&lt;0,0,((1-(L18/(IF(ISBLANK(E8),C8,(IF(E8=0,9.99999999999999E+29,E8))))))*SUM(M4:M7))))</f>
        <v>7085.5554751573236</v>
      </c>
      <c r="N8" s="233">
        <f>SUM(IF(((1-(M18/(IF(ISBLANK(E8),C8,(IF(E8=0,9.99999999999999E+29,E8))))))*SUM(N4:N7))&lt;0,0,((1-(M18/(IF(ISBLANK(E8),C8,(IF(E8=0,9.99999999999999E+29,E8))))))*SUM(N4:N7))))</f>
        <v>9465.3098996489844</v>
      </c>
      <c r="O8" s="255">
        <f t="shared" ref="O8" si="49">SUM(K8:N8)*3</f>
        <v>85197.172055706644</v>
      </c>
      <c r="P8" s="233">
        <f>SUM(IF(((1-(N18/(IF(ISBLANK(E8),C8,(IF(E8=0,9.99999999999999E+29,E8))))))*SUM(P4:P7))&lt;0,0,((1-(N18/(IF(ISBLANK(E8),C8,(IF(E8=0,9.99999999999999E+29,E8))))))*SUM(P4:P7))))</f>
        <v>12719.009102051459</v>
      </c>
      <c r="Q8" s="233">
        <f>SUM(IF(((1-(P18/(IF(ISBLANK(E8),C8,(IF(E8=0,9.99999999999999E+29,E8))))))*SUM(Q4:Q7))&lt;0,0,((1-(P18/(IF(ISBLANK(E8),C8,(IF(E8=0,9.99999999999999E+29,E8))))))*SUM(Q4:Q7))))</f>
        <v>17430.648173309015</v>
      </c>
      <c r="R8" s="233">
        <f>SUM(IF(((1-(Q18/(IF(ISBLANK(E8),C8,(IF(E8=0,9.99999999999999E+29,E8))))))*SUM(R4:R7))&lt;0,0,((1-(Q18/(IF(ISBLANK(E8),C8,(IF(E8=0,9.99999999999999E+29,E8))))))*SUM(R4:R7))))</f>
        <v>24559.229147721246</v>
      </c>
      <c r="S8" s="233">
        <f>SUM(IF(((1-(R18/(IF(ISBLANK(E8),C8,(IF(E8=0,9.99999999999999E+29,E8))))))*SUM(S4:S7))&lt;0,0,((1-(R18/(IF(ISBLANK(E8),C8,(IF(E8=0,9.99999999999999E+29,E8))))))*SUM(S4:S7))))</f>
        <v>35578.659180680443</v>
      </c>
      <c r="T8" s="253">
        <f t="shared" ref="T8" si="50">SUM(P8:S8)*3</f>
        <v>270862.6368112865</v>
      </c>
      <c r="U8" s="254">
        <f>SUM(IF(((1-(T18/(IF(ISBLANK(E8),C8,(IF(E8=0,9.99999999999999E+29,E8))))))*SUM(U4:U7))&lt;0,0,((1-(T18/(IF(ISBLANK(E8),C8,(IF(E8=0,9.99999999999999E+29,E8))))))*SUM(U4:U7))))</f>
        <v>367996.30025557772</v>
      </c>
      <c r="V8" s="255">
        <f>SUM(IF(((1-(U18/(IF(ISBLANK(E8),C8,(IF(E8=0,9.99999999999999E+29,E8))))))*SUM(V4:V7))&lt;0,0,((1-(U18/(IF(ISBLANK(E8),C8,(IF(E8=0,9.99999999999999E+29,E8))))))*SUM(V4:V7))))</f>
        <v>1881806.6861054176</v>
      </c>
      <c r="W8" s="256">
        <f>SUM(IF(((1-(V18/(IF(ISBLANK(E8),C8,(IF(E8=0,9.99999999999999E+29,E8))))))*SUM(W4:W7))&lt;0,0,((1-(V18/(IF(ISBLANK(E8),C8,(IF(E8=0,9.99999999999999E+29,E8))))))*SUM(W4:W7))))</f>
        <v>2775417.787768031</v>
      </c>
      <c r="X8" s="236"/>
      <c r="Y8" s="497">
        <f>SUM(Y4:Y7)</f>
        <v>2300</v>
      </c>
      <c r="Z8" s="233">
        <f>F8</f>
        <v>1699.49</v>
      </c>
      <c r="AA8" s="233">
        <f>F8</f>
        <v>1699.49</v>
      </c>
      <c r="AB8" s="233">
        <f>F8</f>
        <v>1699.49</v>
      </c>
      <c r="AC8" s="255">
        <f t="shared" si="9"/>
        <v>5098.47</v>
      </c>
      <c r="AD8" s="234"/>
      <c r="AE8" s="233">
        <f>G8</f>
        <v>2299.0132015260306</v>
      </c>
      <c r="AF8" s="233">
        <f>G8</f>
        <v>2299.0132015260306</v>
      </c>
      <c r="AG8" s="233">
        <f>G8</f>
        <v>2299.0132015260306</v>
      </c>
      <c r="AH8" s="255">
        <f t="shared" si="10"/>
        <v>6897.0396045780917</v>
      </c>
      <c r="AI8" s="234"/>
      <c r="AJ8" s="233">
        <f>H8</f>
        <v>4830.7627991031413</v>
      </c>
      <c r="AK8" s="233">
        <f>H8</f>
        <v>4830.7627991031413</v>
      </c>
      <c r="AL8" s="233">
        <f>H8</f>
        <v>4830.7627991031413</v>
      </c>
      <c r="AM8" s="255">
        <f t="shared" si="11"/>
        <v>14492.288397309425</v>
      </c>
      <c r="AN8" s="234"/>
      <c r="AO8" s="233">
        <f>I8</f>
        <v>5089.9052364517738</v>
      </c>
      <c r="AP8" s="233">
        <f>I8</f>
        <v>5089.9052364517738</v>
      </c>
      <c r="AQ8" s="233">
        <f>I8</f>
        <v>5089.9052364517738</v>
      </c>
      <c r="AR8" s="255">
        <f t="shared" si="15"/>
        <v>15269.715709355321</v>
      </c>
      <c r="AS8" s="234"/>
      <c r="AT8" s="233">
        <f>K8</f>
        <v>5383.6359848077145</v>
      </c>
      <c r="AU8" s="233">
        <f>K8</f>
        <v>5383.6359848077145</v>
      </c>
      <c r="AV8" s="233">
        <f>K8</f>
        <v>5383.6359848077145</v>
      </c>
      <c r="AW8" s="255">
        <f t="shared" si="19"/>
        <v>16150.907954423143</v>
      </c>
      <c r="AX8" s="234"/>
      <c r="AY8" s="233">
        <f>L8</f>
        <v>6464.555992288193</v>
      </c>
      <c r="AZ8" s="233">
        <f>L8</f>
        <v>6464.555992288193</v>
      </c>
      <c r="BA8" s="233">
        <f>L8</f>
        <v>6464.555992288193</v>
      </c>
      <c r="BB8" s="255">
        <f t="shared" si="23"/>
        <v>19393.667976864577</v>
      </c>
      <c r="BC8" s="234"/>
      <c r="BD8" s="233">
        <f>M8</f>
        <v>7085.5554751573236</v>
      </c>
      <c r="BE8" s="233">
        <f>M8</f>
        <v>7085.5554751573236</v>
      </c>
      <c r="BF8" s="233">
        <f>M8</f>
        <v>7085.5554751573236</v>
      </c>
      <c r="BG8" s="255">
        <f t="shared" si="27"/>
        <v>21256.666425471973</v>
      </c>
      <c r="BH8" s="234"/>
      <c r="BI8" s="233">
        <f>N8</f>
        <v>9465.3098996489844</v>
      </c>
      <c r="BJ8" s="233">
        <f>N8</f>
        <v>9465.3098996489844</v>
      </c>
      <c r="BK8" s="233">
        <f>N8</f>
        <v>9465.3098996489844</v>
      </c>
      <c r="BL8" s="255">
        <f t="shared" si="31"/>
        <v>28395.929698946951</v>
      </c>
      <c r="BM8" s="234"/>
      <c r="BN8" s="233">
        <f>P8</f>
        <v>12719.009102051459</v>
      </c>
      <c r="BO8" s="233">
        <f>P8</f>
        <v>12719.009102051459</v>
      </c>
      <c r="BP8" s="233">
        <f>P8</f>
        <v>12719.009102051459</v>
      </c>
      <c r="BQ8" s="255">
        <f t="shared" si="35"/>
        <v>38157.027306154378</v>
      </c>
      <c r="BR8" s="234"/>
      <c r="BS8" s="233">
        <f>Q8</f>
        <v>17430.648173309015</v>
      </c>
      <c r="BT8" s="233">
        <f>Q8</f>
        <v>17430.648173309015</v>
      </c>
      <c r="BU8" s="233">
        <f>Q8</f>
        <v>17430.648173309015</v>
      </c>
      <c r="BV8" s="255">
        <f t="shared" si="39"/>
        <v>52291.944519927041</v>
      </c>
      <c r="BW8" s="234"/>
      <c r="BX8" s="233">
        <f>R8</f>
        <v>24559.229147721246</v>
      </c>
      <c r="BY8" s="233">
        <f>R8</f>
        <v>24559.229147721246</v>
      </c>
      <c r="BZ8" s="233">
        <f>R8</f>
        <v>24559.229147721246</v>
      </c>
      <c r="CA8" s="255">
        <f>SUM(BX8:BZ8)</f>
        <v>73677.687443163741</v>
      </c>
      <c r="CB8" s="234"/>
      <c r="CC8" s="233">
        <f>S8</f>
        <v>35578.659180680443</v>
      </c>
      <c r="CD8" s="233">
        <f>S8</f>
        <v>35578.659180680443</v>
      </c>
      <c r="CE8" s="233">
        <f>S8</f>
        <v>35578.659180680443</v>
      </c>
      <c r="CF8" s="255">
        <f t="shared" si="47"/>
        <v>106735.97754204134</v>
      </c>
      <c r="CG8" s="235"/>
      <c r="CH8" s="110"/>
    </row>
    <row r="9" spans="1:175" s="10" customFormat="1" ht="9.75" customHeight="1" x14ac:dyDescent="0.15">
      <c r="A9" s="210" t="s">
        <v>180</v>
      </c>
      <c r="B9" s="365">
        <v>4.4999999999999998E-2</v>
      </c>
      <c r="C9" s="296">
        <v>-2E-3</v>
      </c>
      <c r="D9" s="211"/>
      <c r="E9" s="440"/>
      <c r="F9" s="446">
        <v>0.01</v>
      </c>
      <c r="G9" s="212">
        <v>0.03</v>
      </c>
      <c r="H9" s="213">
        <f>SUM(IF((0*(IF(ISBLANK(E9),C9,E9)))+(IF(ISBLANK(D9),B9,D9)) &lt; 0, 0, (0*(IF(ISBLANK(E9),C9,E9)))+(IF(ISBLANK(D9),B9,D9))))</f>
        <v>4.4999999999999998E-2</v>
      </c>
      <c r="I9" s="213">
        <f>SUM(IF((1*(IF(ISBLANK(E9),C9,E9)))+(IF(ISBLANK(D9),B9,D9)) &lt; 0, 0, (1*(IF(ISBLANK(E9),C9,E9)))+(IF(ISBLANK(D9),B9,D9))))</f>
        <v>4.2999999999999997E-2</v>
      </c>
      <c r="J9" s="258">
        <f>SUM(((1+F9)*(1+F9)*(1+F9)*(1+G9)*(1+G9)*(1+G9)*(1+H9)*(1+H9)*(1+H9)*(1+I9)*(1+I9)*(1+I9))-1)</f>
        <v>0.45773167979860929</v>
      </c>
      <c r="K9" s="213">
        <f>SUM(IF((2*(IF(ISBLANK(E9),C9,E9)))+(IF(ISBLANK(D9),B9,D9)) &lt; 0, 0, (2*(IF(ISBLANK(E9),C9,E9)))+(IF(ISBLANK(D9),B9,D9))))</f>
        <v>4.0999999999999995E-2</v>
      </c>
      <c r="L9" s="213">
        <f>SUM(IF((3*(IF(ISBLANK(E9),C9,E9)))+(IF(ISBLANK(D9),B9,D9)) &lt; 0, 0, (3*(IF(ISBLANK(E9),C9,E9)))+(IF(ISBLANK(D9),B9,D9))))</f>
        <v>3.9E-2</v>
      </c>
      <c r="M9" s="213">
        <f>SUM(IF((4*(IF(ISBLANK(E9),C9,E9)))+(IF(ISBLANK(D9),B9,D9)) &lt; 0, 0, (4*(IF(ISBLANK(E9),C9,E9)))+(IF(ISBLANK(D9),B9,D9))))</f>
        <v>3.6999999999999998E-2</v>
      </c>
      <c r="N9" s="213">
        <f>SUM(IF((5*(IF(ISBLANK(E9),C9,E9)))+(IF(ISBLANK(D9),B9,D9)) &lt; 0, 0, (5*(IF(ISBLANK(E9),C9,E9)))+(IF(ISBLANK(D9),B9,D9))))</f>
        <v>3.4999999999999996E-2</v>
      </c>
      <c r="O9" s="258">
        <f>SUM(((1+K9)*(1+K9)*(1+K9)*(1+L9)*(1+L9)*(1+L9)*(1+M9)*(1+M9)*(1+M9)*(1+N9)*(1+N9)*(1+N9))-1)</f>
        <v>0.56443005123105694</v>
      </c>
      <c r="P9" s="213">
        <f>SUM(IF((6*(IF(ISBLANK(E9),C9,E9)))+(IF(ISBLANK(D9),B9,D9)) &lt; 0, 0, (6*(IF(ISBLANK(E9),C9,E9)))+(IF(ISBLANK(D9),B9,D9))))</f>
        <v>3.3000000000000002E-2</v>
      </c>
      <c r="Q9" s="213">
        <f>SUM(IF((7*(IF(ISBLANK(E9),C9,E9)))+(IF(ISBLANK(D9),B9,D9)) &lt; 0, 0, (7*(IF(ISBLANK(E9),C9,E9)))+(IF(ISBLANK(D9),B9,D9))))</f>
        <v>3.1E-2</v>
      </c>
      <c r="R9" s="213">
        <f>SUM(IF((8*(IF(ISBLANK(E9),C9,E9)))+(IF(ISBLANK(D9),B9,D9)) &lt; 0, 0, (8*(IF(ISBLANK(E9),C9,E9)))+(IF(ISBLANK(D9),B9,D9))))</f>
        <v>2.8999999999999998E-2</v>
      </c>
      <c r="S9" s="213">
        <f>SUM(IF((9*(IF(ISBLANK(E9),C9,E9)))+(IF(ISBLANK(D9),B9,D9)) &lt; 0, 0, (9*(IF(ISBLANK(E9),C9,E9)))+(IF(ISBLANK(D9),B9,D9))))</f>
        <v>2.6999999999999996E-2</v>
      </c>
      <c r="T9" s="259">
        <f>SUM(((1+P9)*(1+P9)*(1+P9)*(1+Q9)*(1+Q9)*(1+Q9)*(1+R9)*(1+R9)*(1+R9)*(1+S9)*(1+S9)*(1+S9))-1)</f>
        <v>0.42572056976902894</v>
      </c>
      <c r="U9" s="459">
        <f>SUM(IF((12*(IF(ISBLANK(E9),C9,E9)))+(IF(ISBLANK(D9),B9,D9)) &lt; 0, 0, (12*(IF(ISBLANK(E9),C9,E9)))+(IF(ISBLANK(D9),B9,D9))))*12</f>
        <v>0.252</v>
      </c>
      <c r="V9" s="258">
        <f>SUM(IF((15*(IF(ISBLANK(E9),C9,E9)))+(IF(ISBLANK(D9),B9,D9)) &lt; 0, 0, (15*(IF(ISBLANK(E9),C9,E9)))+(IF(ISBLANK(D9),B9,D9))))*12</f>
        <v>0.18</v>
      </c>
      <c r="W9" s="259">
        <f>SUM(IF((18*(IF(ISBLANK(E9),C9,E9)))+(IF(ISBLANK(D9),B9,D9)) &lt; 0, 0, (18*(IF(ISBLANK(E9),C9,E9)))+(IF(ISBLANK(D9),B9,D9))))*12</f>
        <v>0.10799999999999993</v>
      </c>
      <c r="X9" s="216"/>
      <c r="Y9" s="498">
        <v>0</v>
      </c>
      <c r="Z9" s="213">
        <f>F9</f>
        <v>0.01</v>
      </c>
      <c r="AA9" s="213">
        <f>F9</f>
        <v>0.01</v>
      </c>
      <c r="AB9" s="213">
        <f>F9</f>
        <v>0.01</v>
      </c>
      <c r="AC9" s="258">
        <f t="shared" si="9"/>
        <v>0.03</v>
      </c>
      <c r="AD9" s="214"/>
      <c r="AE9" s="213">
        <f>G9</f>
        <v>0.03</v>
      </c>
      <c r="AF9" s="213">
        <f>G9</f>
        <v>0.03</v>
      </c>
      <c r="AG9" s="213">
        <f>G9</f>
        <v>0.03</v>
      </c>
      <c r="AH9" s="258">
        <f t="shared" si="10"/>
        <v>0.09</v>
      </c>
      <c r="AI9" s="214"/>
      <c r="AJ9" s="213">
        <f>H9</f>
        <v>4.4999999999999998E-2</v>
      </c>
      <c r="AK9" s="213">
        <f>H9</f>
        <v>4.4999999999999998E-2</v>
      </c>
      <c r="AL9" s="213">
        <f>H9</f>
        <v>4.4999999999999998E-2</v>
      </c>
      <c r="AM9" s="258">
        <f t="shared" si="11"/>
        <v>0.13500000000000001</v>
      </c>
      <c r="AN9" s="214"/>
      <c r="AO9" s="213">
        <f>I9</f>
        <v>4.2999999999999997E-2</v>
      </c>
      <c r="AP9" s="213">
        <f>I9</f>
        <v>4.2999999999999997E-2</v>
      </c>
      <c r="AQ9" s="213">
        <f>I9</f>
        <v>4.2999999999999997E-2</v>
      </c>
      <c r="AR9" s="258">
        <f t="shared" si="15"/>
        <v>0.129</v>
      </c>
      <c r="AS9" s="214"/>
      <c r="AT9" s="213">
        <f>K9</f>
        <v>4.0999999999999995E-2</v>
      </c>
      <c r="AU9" s="213">
        <f>K9</f>
        <v>4.0999999999999995E-2</v>
      </c>
      <c r="AV9" s="213">
        <f>K9</f>
        <v>4.0999999999999995E-2</v>
      </c>
      <c r="AW9" s="258">
        <f t="shared" si="19"/>
        <v>0.12299999999999998</v>
      </c>
      <c r="AX9" s="214"/>
      <c r="AY9" s="213">
        <f>L9</f>
        <v>3.9E-2</v>
      </c>
      <c r="AZ9" s="213">
        <f>L9</f>
        <v>3.9E-2</v>
      </c>
      <c r="BA9" s="213">
        <f>L9</f>
        <v>3.9E-2</v>
      </c>
      <c r="BB9" s="258">
        <f t="shared" si="23"/>
        <v>0.11699999999999999</v>
      </c>
      <c r="BC9" s="214"/>
      <c r="BD9" s="213">
        <f>M9</f>
        <v>3.6999999999999998E-2</v>
      </c>
      <c r="BE9" s="213">
        <f>M9</f>
        <v>3.6999999999999998E-2</v>
      </c>
      <c r="BF9" s="213">
        <f>M9</f>
        <v>3.6999999999999998E-2</v>
      </c>
      <c r="BG9" s="258">
        <f t="shared" si="27"/>
        <v>0.11099999999999999</v>
      </c>
      <c r="BH9" s="214"/>
      <c r="BI9" s="213">
        <f>N9</f>
        <v>3.4999999999999996E-2</v>
      </c>
      <c r="BJ9" s="213">
        <f>N9</f>
        <v>3.4999999999999996E-2</v>
      </c>
      <c r="BK9" s="213">
        <f>N9</f>
        <v>3.4999999999999996E-2</v>
      </c>
      <c r="BL9" s="258">
        <f t="shared" ref="BL9:BL15" si="51">SUM((BI9+BJ9+BK9))</f>
        <v>0.10499999999999998</v>
      </c>
      <c r="BM9" s="214"/>
      <c r="BN9" s="213">
        <f>P9</f>
        <v>3.3000000000000002E-2</v>
      </c>
      <c r="BO9" s="213">
        <f>P9</f>
        <v>3.3000000000000002E-2</v>
      </c>
      <c r="BP9" s="213">
        <f>P9</f>
        <v>3.3000000000000002E-2</v>
      </c>
      <c r="BQ9" s="258">
        <f t="shared" ref="BQ9:BQ15" si="52">SUM((BN9+BO9+BP9))</f>
        <v>9.9000000000000005E-2</v>
      </c>
      <c r="BR9" s="214"/>
      <c r="BS9" s="213">
        <f>Q9</f>
        <v>3.1E-2</v>
      </c>
      <c r="BT9" s="213">
        <f>Q9</f>
        <v>3.1E-2</v>
      </c>
      <c r="BU9" s="213">
        <f>Q9</f>
        <v>3.1E-2</v>
      </c>
      <c r="BV9" s="258">
        <f t="shared" ref="BV9:BV15" si="53">SUM((BS9+BT9+BU9))</f>
        <v>9.2999999999999999E-2</v>
      </c>
      <c r="BW9" s="214"/>
      <c r="BX9" s="213">
        <f>R9</f>
        <v>2.8999999999999998E-2</v>
      </c>
      <c r="BY9" s="213">
        <f>R9</f>
        <v>2.8999999999999998E-2</v>
      </c>
      <c r="BZ9" s="213">
        <f>R9</f>
        <v>2.8999999999999998E-2</v>
      </c>
      <c r="CA9" s="258">
        <f t="shared" ref="CA9:CA16" si="54">SUM((BX9+BY9+BZ9))</f>
        <v>8.6999999999999994E-2</v>
      </c>
      <c r="CB9" s="214"/>
      <c r="CC9" s="213">
        <f>S9</f>
        <v>2.6999999999999996E-2</v>
      </c>
      <c r="CD9" s="213">
        <f>S9</f>
        <v>2.6999999999999996E-2</v>
      </c>
      <c r="CE9" s="213">
        <f>S9</f>
        <v>2.6999999999999996E-2</v>
      </c>
      <c r="CF9" s="258">
        <f t="shared" ref="CF9:CF16" si="55">SUM((CC9+CD9+CE9))</f>
        <v>8.0999999999999989E-2</v>
      </c>
      <c r="CG9" s="215"/>
    </row>
    <row r="10" spans="1:175" s="10" customFormat="1" ht="9.75" customHeight="1" x14ac:dyDescent="0.15">
      <c r="A10" s="482" t="s">
        <v>181</v>
      </c>
      <c r="B10" s="270">
        <v>5.5E-2</v>
      </c>
      <c r="C10" s="293">
        <v>-5.0000000000000001E-3</v>
      </c>
      <c r="D10" s="194"/>
      <c r="E10" s="441"/>
      <c r="F10" s="118">
        <v>0</v>
      </c>
      <c r="G10" s="126">
        <v>0.02</v>
      </c>
      <c r="H10" s="112">
        <f t="shared" ref="H10:H13" si="56">SUM(IF((0*(IF(ISBLANK(E10),C10,E10)))+(IF(ISBLANK(D10),B10,D10)) &lt; 0, 0, (0*(IF(ISBLANK(E10),C10,E10)))+(IF(ISBLANK(D10),B10,D10))))</f>
        <v>5.5E-2</v>
      </c>
      <c r="I10" s="112">
        <f t="shared" ref="I10:I13" si="57">SUM(IF((1*(IF(ISBLANK(E10),C10,E10)))+(IF(ISBLANK(D10),B10,D10)) &lt; 0, 0, (1*(IF(ISBLANK(E10),C10,E10)))+(IF(ISBLANK(D10),B10,D10))))</f>
        <v>0.05</v>
      </c>
      <c r="J10" s="261">
        <f t="shared" ref="J10:J15" si="58">SUM(((1+F10)*(1+F10)*(1+F10)*(1+G10)*(1+G10)*(1+G10)*(1+H10)*(1+H10)*(1+H10)*(1+I10)*(1+I10)*(1+I10))-1)</f>
        <v>0.4425331140938924</v>
      </c>
      <c r="K10" s="112">
        <f t="shared" ref="K10:K13" si="59">SUM(IF((2*(IF(ISBLANK(E10),C10,E10)))+(IF(ISBLANK(D10),B10,D10)) &lt; 0, 0, (2*(IF(ISBLANK(E10),C10,E10)))+(IF(ISBLANK(D10),B10,D10))))</f>
        <v>4.4999999999999998E-2</v>
      </c>
      <c r="L10" s="112">
        <f t="shared" ref="L10:L13" si="60">SUM(IF((3*(IF(ISBLANK(E10),C10,E10)))+(IF(ISBLANK(D10),B10,D10)) &lt; 0, 0, (3*(IF(ISBLANK(E10),C10,E10)))+(IF(ISBLANK(D10),B10,D10))))</f>
        <v>0.04</v>
      </c>
      <c r="M10" s="112">
        <f t="shared" ref="M10:M13" si="61">SUM(IF((4*(IF(ISBLANK(E10),C10,E10)))+(IF(ISBLANK(D10),B10,D10)) &lt; 0, 0, (4*(IF(ISBLANK(E10),C10,E10)))+(IF(ISBLANK(D10),B10,D10))))</f>
        <v>3.5000000000000003E-2</v>
      </c>
      <c r="N10" s="112">
        <f t="shared" ref="N10:N13" si="62">SUM(IF((5*(IF(ISBLANK(E10),C10,E10)))+(IF(ISBLANK(D10),B10,D10)) &lt; 0, 0, (5*(IF(ISBLANK(E10),C10,E10)))+(IF(ISBLANK(D10),B10,D10))))</f>
        <v>0.03</v>
      </c>
      <c r="O10" s="261">
        <f t="shared" ref="O10:O15" si="63">SUM(((1+K10)*(1+K10)*(1+K10)*(1+L10)*(1+L10)*(1+L10)*(1+M10)*(1+M10)*(1+M10)*(1+N10)*(1+N10)*(1+N10))-1)</f>
        <v>0.55518340278072742</v>
      </c>
      <c r="P10" s="112">
        <f t="shared" ref="P10:P13" si="64">SUM(IF((6*(IF(ISBLANK(E10),C10,E10)))+(IF(ISBLANK(D10),B10,D10)) &lt; 0, 0, (6*(IF(ISBLANK(E10),C10,E10)))+(IF(ISBLANK(D10),B10,D10))))</f>
        <v>2.5000000000000001E-2</v>
      </c>
      <c r="Q10" s="112">
        <f t="shared" ref="Q10:Q13" si="65">SUM(IF((7*(IF(ISBLANK(E10),C10,E10)))+(IF(ISBLANK(D10),B10,D10)) &lt; 0, 0, (7*(IF(ISBLANK(E10),C10,E10)))+(IF(ISBLANK(D10),B10,D10))))</f>
        <v>1.9999999999999997E-2</v>
      </c>
      <c r="R10" s="112">
        <f t="shared" ref="R10:R13" si="66">SUM(IF((8*(IF(ISBLANK(E10),C10,E10)))+(IF(ISBLANK(D10),B10,D10)) &lt; 0, 0, (8*(IF(ISBLANK(E10),C10,E10)))+(IF(ISBLANK(D10),B10,D10))))</f>
        <v>1.4999999999999999E-2</v>
      </c>
      <c r="S10" s="112">
        <f t="shared" ref="S10:S13" si="67">SUM(IF((9*(IF(ISBLANK(E10),C10,E10)))+(IF(ISBLANK(D10),B10,D10)) &lt; 0, 0, (9*(IF(ISBLANK(E10),C10,E10)))+(IF(ISBLANK(D10),B10,D10))))</f>
        <v>1.0000000000000002E-2</v>
      </c>
      <c r="T10" s="262">
        <f t="shared" ref="T10:T15" si="68">SUM(((1+P10)*(1+P10)*(1+P10)*(1+Q10)*(1+Q10)*(1+Q10)*(1+R10)*(1+R10)*(1+R10)*(1+S10)*(1+S10)*(1+S10))-1)</f>
        <v>0.23121630877759247</v>
      </c>
      <c r="U10" s="460">
        <f>SUM(IF((12*(IF(ISBLANK(E10),C10,E10)))+(IF(ISBLANK(D10),B10,D10)) &lt; 0, 0, (12*(IF(ISBLANK(E10),C10,E10)))+(IF(ISBLANK(D10),B10,D10))))*12</f>
        <v>0</v>
      </c>
      <c r="V10" s="261">
        <f>SUM(IF((15*(IF(ISBLANK(E10),C10,E10)))+(IF(ISBLANK(D10),B10,D10)) &lt; 0, 0, (15*(IF(ISBLANK(E10),C10,E10)))+(IF(ISBLANK(D10),B10,D10))))*12</f>
        <v>0</v>
      </c>
      <c r="W10" s="262">
        <f>SUM(IF((18*(IF(ISBLANK(E10),C10,E10)))+(IF(ISBLANK(D10),B10,D10)) &lt; 0, 0, (18*(IF(ISBLANK(E10),C10,E10)))+(IF(ISBLANK(D10),B10,D10))))*12</f>
        <v>0</v>
      </c>
      <c r="X10" s="174"/>
      <c r="Y10" s="499">
        <v>0</v>
      </c>
      <c r="Z10" s="112">
        <f t="shared" ref="Z10:Z13" si="69">F10</f>
        <v>0</v>
      </c>
      <c r="AA10" s="112">
        <f t="shared" ref="AA10:AA13" si="70">F10</f>
        <v>0</v>
      </c>
      <c r="AB10" s="112">
        <f t="shared" ref="AB10:AB13" si="71">F10</f>
        <v>0</v>
      </c>
      <c r="AC10" s="261">
        <f t="shared" si="9"/>
        <v>0</v>
      </c>
      <c r="AD10" s="114"/>
      <c r="AE10" s="112">
        <f t="shared" ref="AE10:AE13" si="72">G10</f>
        <v>0.02</v>
      </c>
      <c r="AF10" s="112">
        <f t="shared" ref="AF10:AF13" si="73">G10</f>
        <v>0.02</v>
      </c>
      <c r="AG10" s="112">
        <f t="shared" ref="AG10:AG13" si="74">G10</f>
        <v>0.02</v>
      </c>
      <c r="AH10" s="261">
        <f t="shared" si="10"/>
        <v>0.06</v>
      </c>
      <c r="AI10" s="114"/>
      <c r="AJ10" s="112">
        <f t="shared" ref="AJ10:AJ13" si="75">H10</f>
        <v>5.5E-2</v>
      </c>
      <c r="AK10" s="112">
        <f t="shared" ref="AK10:AK13" si="76">H10</f>
        <v>5.5E-2</v>
      </c>
      <c r="AL10" s="112">
        <f t="shared" ref="AL10:AL13" si="77">H10</f>
        <v>5.5E-2</v>
      </c>
      <c r="AM10" s="261">
        <f t="shared" si="11"/>
        <v>0.16500000000000001</v>
      </c>
      <c r="AN10" s="114"/>
      <c r="AO10" s="112">
        <f t="shared" ref="AO10:AO13" si="78">I10</f>
        <v>0.05</v>
      </c>
      <c r="AP10" s="112">
        <f t="shared" ref="AP10:AP13" si="79">I10</f>
        <v>0.05</v>
      </c>
      <c r="AQ10" s="112">
        <f t="shared" ref="AQ10:AQ13" si="80">I10</f>
        <v>0.05</v>
      </c>
      <c r="AR10" s="261">
        <f t="shared" si="15"/>
        <v>0.15000000000000002</v>
      </c>
      <c r="AS10" s="114"/>
      <c r="AT10" s="112">
        <f t="shared" ref="AT10:AT13" si="81">K10</f>
        <v>4.4999999999999998E-2</v>
      </c>
      <c r="AU10" s="112">
        <f t="shared" ref="AU10:AU13" si="82">K10</f>
        <v>4.4999999999999998E-2</v>
      </c>
      <c r="AV10" s="112">
        <f t="shared" ref="AV10:AV13" si="83">K10</f>
        <v>4.4999999999999998E-2</v>
      </c>
      <c r="AW10" s="261">
        <f t="shared" si="19"/>
        <v>0.13500000000000001</v>
      </c>
      <c r="AX10" s="114"/>
      <c r="AY10" s="112">
        <f t="shared" ref="AY10:AY13" si="84">L10</f>
        <v>0.04</v>
      </c>
      <c r="AZ10" s="112">
        <f t="shared" ref="AZ10:AZ13" si="85">L10</f>
        <v>0.04</v>
      </c>
      <c r="BA10" s="112">
        <f t="shared" ref="BA10:BA13" si="86">L10</f>
        <v>0.04</v>
      </c>
      <c r="BB10" s="261">
        <f t="shared" si="23"/>
        <v>0.12</v>
      </c>
      <c r="BC10" s="114"/>
      <c r="BD10" s="112">
        <f t="shared" ref="BD10:BD13" si="87">M10</f>
        <v>3.5000000000000003E-2</v>
      </c>
      <c r="BE10" s="112">
        <f t="shared" ref="BE10:BE13" si="88">M10</f>
        <v>3.5000000000000003E-2</v>
      </c>
      <c r="BF10" s="112">
        <f t="shared" ref="BF10:BF13" si="89">M10</f>
        <v>3.5000000000000003E-2</v>
      </c>
      <c r="BG10" s="261">
        <f t="shared" si="27"/>
        <v>0.10500000000000001</v>
      </c>
      <c r="BH10" s="114"/>
      <c r="BI10" s="112">
        <f t="shared" ref="BI10:BI13" si="90">N10</f>
        <v>0.03</v>
      </c>
      <c r="BJ10" s="112">
        <f t="shared" ref="BJ10:BJ13" si="91">N10</f>
        <v>0.03</v>
      </c>
      <c r="BK10" s="112">
        <f t="shared" ref="BK10:BK13" si="92">N10</f>
        <v>0.03</v>
      </c>
      <c r="BL10" s="261">
        <f t="shared" si="51"/>
        <v>0.09</v>
      </c>
      <c r="BM10" s="114"/>
      <c r="BN10" s="112">
        <f t="shared" ref="BN10:BN13" si="93">P10</f>
        <v>2.5000000000000001E-2</v>
      </c>
      <c r="BO10" s="112">
        <f t="shared" ref="BO10:BO13" si="94">P10</f>
        <v>2.5000000000000001E-2</v>
      </c>
      <c r="BP10" s="112">
        <f t="shared" ref="BP10:BP13" si="95">P10</f>
        <v>2.5000000000000001E-2</v>
      </c>
      <c r="BQ10" s="261">
        <f t="shared" si="52"/>
        <v>7.5000000000000011E-2</v>
      </c>
      <c r="BR10" s="114"/>
      <c r="BS10" s="112">
        <f t="shared" ref="BS10:BS13" si="96">Q10</f>
        <v>1.9999999999999997E-2</v>
      </c>
      <c r="BT10" s="112">
        <f t="shared" ref="BT10:BT13" si="97">Q10</f>
        <v>1.9999999999999997E-2</v>
      </c>
      <c r="BU10" s="112">
        <f t="shared" ref="BU10:BU13" si="98">Q10</f>
        <v>1.9999999999999997E-2</v>
      </c>
      <c r="BV10" s="261">
        <f t="shared" si="53"/>
        <v>5.9999999999999991E-2</v>
      </c>
      <c r="BW10" s="114"/>
      <c r="BX10" s="112">
        <f t="shared" ref="BX10:BX13" si="99">R10</f>
        <v>1.4999999999999999E-2</v>
      </c>
      <c r="BY10" s="112">
        <f t="shared" ref="BY10:BY13" si="100">R10</f>
        <v>1.4999999999999999E-2</v>
      </c>
      <c r="BZ10" s="112">
        <f t="shared" ref="BZ10:BZ13" si="101">R10</f>
        <v>1.4999999999999999E-2</v>
      </c>
      <c r="CA10" s="261">
        <f t="shared" si="54"/>
        <v>4.4999999999999998E-2</v>
      </c>
      <c r="CB10" s="114"/>
      <c r="CC10" s="112">
        <f t="shared" ref="CC10:CC13" si="102">S10</f>
        <v>1.0000000000000002E-2</v>
      </c>
      <c r="CD10" s="112">
        <f t="shared" ref="CD10:CD13" si="103">S10</f>
        <v>1.0000000000000002E-2</v>
      </c>
      <c r="CE10" s="112">
        <f t="shared" ref="CE10:CE13" si="104">S10</f>
        <v>1.0000000000000002E-2</v>
      </c>
      <c r="CF10" s="261">
        <f t="shared" si="55"/>
        <v>3.0000000000000006E-2</v>
      </c>
      <c r="CG10" s="113"/>
    </row>
    <row r="11" spans="1:175" s="10" customFormat="1" ht="9.75" customHeight="1" x14ac:dyDescent="0.15">
      <c r="A11" s="482" t="s">
        <v>183</v>
      </c>
      <c r="B11" s="270">
        <v>4.4999999999999998E-2</v>
      </c>
      <c r="C11" s="293">
        <v>-2E-3</v>
      </c>
      <c r="D11" s="194"/>
      <c r="E11" s="441"/>
      <c r="F11" s="118">
        <v>0</v>
      </c>
      <c r="G11" s="126">
        <v>0.02</v>
      </c>
      <c r="H11" s="112">
        <f t="shared" si="56"/>
        <v>4.4999999999999998E-2</v>
      </c>
      <c r="I11" s="112">
        <f t="shared" si="57"/>
        <v>4.2999999999999997E-2</v>
      </c>
      <c r="J11" s="261">
        <f t="shared" si="58"/>
        <v>0.3740492895542562</v>
      </c>
      <c r="K11" s="112">
        <f t="shared" si="59"/>
        <v>4.0999999999999995E-2</v>
      </c>
      <c r="L11" s="112">
        <f t="shared" si="60"/>
        <v>3.9E-2</v>
      </c>
      <c r="M11" s="112">
        <f t="shared" si="61"/>
        <v>3.6999999999999998E-2</v>
      </c>
      <c r="N11" s="112">
        <f t="shared" si="62"/>
        <v>3.4999999999999996E-2</v>
      </c>
      <c r="O11" s="261">
        <f t="shared" si="63"/>
        <v>0.56443005123105694</v>
      </c>
      <c r="P11" s="112">
        <f t="shared" si="64"/>
        <v>3.3000000000000002E-2</v>
      </c>
      <c r="Q11" s="112">
        <f t="shared" si="65"/>
        <v>3.1E-2</v>
      </c>
      <c r="R11" s="112">
        <f t="shared" si="66"/>
        <v>2.8999999999999998E-2</v>
      </c>
      <c r="S11" s="112">
        <f t="shared" si="67"/>
        <v>2.6999999999999996E-2</v>
      </c>
      <c r="T11" s="262">
        <f t="shared" si="68"/>
        <v>0.42572056976902894</v>
      </c>
      <c r="U11" s="460">
        <f>SUM(IF((12*(IF(ISBLANK(E11),C11,E11)))+(IF(ISBLANK(D11),B11,D11)) &lt; 0, 0, (12*(IF(ISBLANK(E11),C11,E11)))+(IF(ISBLANK(D11),B11,D11))))*12</f>
        <v>0.252</v>
      </c>
      <c r="V11" s="261">
        <f>SUM(IF((15*(IF(ISBLANK(E11),C11,E11)))+(IF(ISBLANK(D11),B11,D11)) &lt; 0, 0, (15*(IF(ISBLANK(E11),C11,E11)))+(IF(ISBLANK(D11),B11,D11))))*12</f>
        <v>0.18</v>
      </c>
      <c r="W11" s="262">
        <f>SUM(IF((18*(IF(ISBLANK(E11),C11,E11)))+(IF(ISBLANK(D11),B11,D11)) &lt; 0, 0, (18*(IF(ISBLANK(E11),C11,E11)))+(IF(ISBLANK(D11),B11,D11))))*12</f>
        <v>0.10799999999999993</v>
      </c>
      <c r="X11" s="174"/>
      <c r="Y11" s="499">
        <v>0</v>
      </c>
      <c r="Z11" s="112">
        <f t="shared" si="69"/>
        <v>0</v>
      </c>
      <c r="AA11" s="112">
        <f t="shared" si="70"/>
        <v>0</v>
      </c>
      <c r="AB11" s="112">
        <f t="shared" si="71"/>
        <v>0</v>
      </c>
      <c r="AC11" s="261">
        <f t="shared" si="9"/>
        <v>0</v>
      </c>
      <c r="AD11" s="114"/>
      <c r="AE11" s="112">
        <f t="shared" si="72"/>
        <v>0.02</v>
      </c>
      <c r="AF11" s="112">
        <f t="shared" si="73"/>
        <v>0.02</v>
      </c>
      <c r="AG11" s="112">
        <f t="shared" si="74"/>
        <v>0.02</v>
      </c>
      <c r="AH11" s="261">
        <f t="shared" si="10"/>
        <v>0.06</v>
      </c>
      <c r="AI11" s="114"/>
      <c r="AJ11" s="112">
        <f t="shared" si="75"/>
        <v>4.4999999999999998E-2</v>
      </c>
      <c r="AK11" s="112">
        <f t="shared" si="76"/>
        <v>4.4999999999999998E-2</v>
      </c>
      <c r="AL11" s="112">
        <f t="shared" si="77"/>
        <v>4.4999999999999998E-2</v>
      </c>
      <c r="AM11" s="261">
        <f t="shared" si="11"/>
        <v>0.13500000000000001</v>
      </c>
      <c r="AN11" s="114"/>
      <c r="AO11" s="112">
        <f t="shared" si="78"/>
        <v>4.2999999999999997E-2</v>
      </c>
      <c r="AP11" s="112">
        <f t="shared" si="79"/>
        <v>4.2999999999999997E-2</v>
      </c>
      <c r="AQ11" s="112">
        <f t="shared" si="80"/>
        <v>4.2999999999999997E-2</v>
      </c>
      <c r="AR11" s="261">
        <f t="shared" si="15"/>
        <v>0.129</v>
      </c>
      <c r="AS11" s="114"/>
      <c r="AT11" s="112">
        <f t="shared" si="81"/>
        <v>4.0999999999999995E-2</v>
      </c>
      <c r="AU11" s="112">
        <f t="shared" si="82"/>
        <v>4.0999999999999995E-2</v>
      </c>
      <c r="AV11" s="112">
        <f t="shared" si="83"/>
        <v>4.0999999999999995E-2</v>
      </c>
      <c r="AW11" s="261">
        <f t="shared" si="19"/>
        <v>0.12299999999999998</v>
      </c>
      <c r="AX11" s="114"/>
      <c r="AY11" s="112">
        <f t="shared" si="84"/>
        <v>3.9E-2</v>
      </c>
      <c r="AZ11" s="112">
        <f t="shared" si="85"/>
        <v>3.9E-2</v>
      </c>
      <c r="BA11" s="112">
        <f t="shared" si="86"/>
        <v>3.9E-2</v>
      </c>
      <c r="BB11" s="261">
        <f t="shared" si="23"/>
        <v>0.11699999999999999</v>
      </c>
      <c r="BC11" s="114"/>
      <c r="BD11" s="112">
        <f t="shared" si="87"/>
        <v>3.6999999999999998E-2</v>
      </c>
      <c r="BE11" s="112">
        <f t="shared" si="88"/>
        <v>3.6999999999999998E-2</v>
      </c>
      <c r="BF11" s="112">
        <f t="shared" si="89"/>
        <v>3.6999999999999998E-2</v>
      </c>
      <c r="BG11" s="261">
        <f t="shared" si="27"/>
        <v>0.11099999999999999</v>
      </c>
      <c r="BH11" s="114"/>
      <c r="BI11" s="112">
        <f t="shared" si="90"/>
        <v>3.4999999999999996E-2</v>
      </c>
      <c r="BJ11" s="112">
        <f t="shared" si="91"/>
        <v>3.4999999999999996E-2</v>
      </c>
      <c r="BK11" s="112">
        <f t="shared" si="92"/>
        <v>3.4999999999999996E-2</v>
      </c>
      <c r="BL11" s="261">
        <f t="shared" si="51"/>
        <v>0.10499999999999998</v>
      </c>
      <c r="BM11" s="114"/>
      <c r="BN11" s="112">
        <f t="shared" si="93"/>
        <v>3.3000000000000002E-2</v>
      </c>
      <c r="BO11" s="112">
        <f t="shared" si="94"/>
        <v>3.3000000000000002E-2</v>
      </c>
      <c r="BP11" s="112">
        <f t="shared" si="95"/>
        <v>3.3000000000000002E-2</v>
      </c>
      <c r="BQ11" s="261">
        <f t="shared" si="52"/>
        <v>9.9000000000000005E-2</v>
      </c>
      <c r="BR11" s="114"/>
      <c r="BS11" s="112">
        <f t="shared" si="96"/>
        <v>3.1E-2</v>
      </c>
      <c r="BT11" s="112">
        <f t="shared" si="97"/>
        <v>3.1E-2</v>
      </c>
      <c r="BU11" s="112">
        <f t="shared" si="98"/>
        <v>3.1E-2</v>
      </c>
      <c r="BV11" s="261">
        <f t="shared" si="53"/>
        <v>9.2999999999999999E-2</v>
      </c>
      <c r="BW11" s="114"/>
      <c r="BX11" s="112">
        <f t="shared" si="99"/>
        <v>2.8999999999999998E-2</v>
      </c>
      <c r="BY11" s="112">
        <f t="shared" si="100"/>
        <v>2.8999999999999998E-2</v>
      </c>
      <c r="BZ11" s="112">
        <f t="shared" si="101"/>
        <v>2.8999999999999998E-2</v>
      </c>
      <c r="CA11" s="261">
        <f t="shared" si="54"/>
        <v>8.6999999999999994E-2</v>
      </c>
      <c r="CB11" s="114"/>
      <c r="CC11" s="112">
        <f t="shared" si="102"/>
        <v>2.6999999999999996E-2</v>
      </c>
      <c r="CD11" s="112">
        <f t="shared" si="103"/>
        <v>2.6999999999999996E-2</v>
      </c>
      <c r="CE11" s="112">
        <f t="shared" si="104"/>
        <v>2.6999999999999996E-2</v>
      </c>
      <c r="CF11" s="261">
        <f t="shared" si="55"/>
        <v>8.0999999999999989E-2</v>
      </c>
      <c r="CG11" s="113"/>
    </row>
    <row r="12" spans="1:175" s="10" customFormat="1" ht="9.75" customHeight="1" x14ac:dyDescent="0.15">
      <c r="A12" s="482" t="s">
        <v>182</v>
      </c>
      <c r="B12" s="270">
        <v>0.04</v>
      </c>
      <c r="C12" s="293">
        <v>-1.7999999999999999E-2</v>
      </c>
      <c r="D12" s="194"/>
      <c r="E12" s="441"/>
      <c r="F12" s="118">
        <v>0</v>
      </c>
      <c r="G12" s="126">
        <v>0.05</v>
      </c>
      <c r="H12" s="112">
        <f t="shared" si="56"/>
        <v>0.04</v>
      </c>
      <c r="I12" s="112">
        <f t="shared" si="57"/>
        <v>2.2000000000000002E-2</v>
      </c>
      <c r="J12" s="261">
        <f t="shared" si="58"/>
        <v>0.39001857076046242</v>
      </c>
      <c r="K12" s="112">
        <f t="shared" si="59"/>
        <v>4.0000000000000036E-3</v>
      </c>
      <c r="L12" s="112">
        <f t="shared" si="60"/>
        <v>0</v>
      </c>
      <c r="M12" s="112">
        <f t="shared" si="61"/>
        <v>0</v>
      </c>
      <c r="N12" s="112">
        <f t="shared" si="62"/>
        <v>0</v>
      </c>
      <c r="O12" s="261">
        <f t="shared" si="63"/>
        <v>1.2048064000000025E-2</v>
      </c>
      <c r="P12" s="112">
        <f t="shared" si="64"/>
        <v>0</v>
      </c>
      <c r="Q12" s="112">
        <f t="shared" si="65"/>
        <v>0</v>
      </c>
      <c r="R12" s="112">
        <f t="shared" si="66"/>
        <v>0</v>
      </c>
      <c r="S12" s="112">
        <f t="shared" si="67"/>
        <v>0</v>
      </c>
      <c r="T12" s="262">
        <f t="shared" si="68"/>
        <v>0</v>
      </c>
      <c r="U12" s="460">
        <f>SUM(IF((12*(IF(ISBLANK(E12),C12,E12)))+(IF(ISBLANK(D12),B12,D12)) &lt; 0, 0, (12*(IF(ISBLANK(E12),C12,E12)))+(IF(ISBLANK(D12),B12,D12))))*12</f>
        <v>0</v>
      </c>
      <c r="V12" s="261">
        <f>SUM(IF((15*(IF(ISBLANK(E12),C12,E12)))+(IF(ISBLANK(D12),B12,D12)) &lt; 0, 0, (15*(IF(ISBLANK(E12),C12,E12)))+(IF(ISBLANK(D12),B12,D12))))*12</f>
        <v>0</v>
      </c>
      <c r="W12" s="262">
        <f>SUM(IF((18*(IF(ISBLANK(E12),C12,E12)))+(IF(ISBLANK(D12),B12,D12)) &lt; 0, 0, (18*(IF(ISBLANK(E12),C12,E12)))+(IF(ISBLANK(D12),B12,D12))))*12</f>
        <v>0</v>
      </c>
      <c r="X12" s="174"/>
      <c r="Y12" s="499">
        <v>0</v>
      </c>
      <c r="Z12" s="112">
        <f t="shared" si="69"/>
        <v>0</v>
      </c>
      <c r="AA12" s="112">
        <f t="shared" si="70"/>
        <v>0</v>
      </c>
      <c r="AB12" s="112">
        <f t="shared" si="71"/>
        <v>0</v>
      </c>
      <c r="AC12" s="261">
        <f t="shared" si="9"/>
        <v>0</v>
      </c>
      <c r="AD12" s="114"/>
      <c r="AE12" s="112">
        <f t="shared" si="72"/>
        <v>0.05</v>
      </c>
      <c r="AF12" s="112">
        <f t="shared" si="73"/>
        <v>0.05</v>
      </c>
      <c r="AG12" s="112">
        <f t="shared" si="74"/>
        <v>0.05</v>
      </c>
      <c r="AH12" s="261">
        <f t="shared" si="10"/>
        <v>0.15000000000000002</v>
      </c>
      <c r="AI12" s="114"/>
      <c r="AJ12" s="112">
        <f t="shared" si="75"/>
        <v>0.04</v>
      </c>
      <c r="AK12" s="112">
        <f t="shared" si="76"/>
        <v>0.04</v>
      </c>
      <c r="AL12" s="112">
        <f t="shared" si="77"/>
        <v>0.04</v>
      </c>
      <c r="AM12" s="261">
        <f t="shared" si="11"/>
        <v>0.12</v>
      </c>
      <c r="AN12" s="114"/>
      <c r="AO12" s="112">
        <f t="shared" si="78"/>
        <v>2.2000000000000002E-2</v>
      </c>
      <c r="AP12" s="112">
        <f t="shared" si="79"/>
        <v>2.2000000000000002E-2</v>
      </c>
      <c r="AQ12" s="112">
        <f t="shared" si="80"/>
        <v>2.2000000000000002E-2</v>
      </c>
      <c r="AR12" s="261">
        <f t="shared" si="15"/>
        <v>6.6000000000000003E-2</v>
      </c>
      <c r="AS12" s="114"/>
      <c r="AT12" s="112">
        <f t="shared" si="81"/>
        <v>4.0000000000000036E-3</v>
      </c>
      <c r="AU12" s="112">
        <f t="shared" si="82"/>
        <v>4.0000000000000036E-3</v>
      </c>
      <c r="AV12" s="112">
        <f t="shared" si="83"/>
        <v>4.0000000000000036E-3</v>
      </c>
      <c r="AW12" s="261">
        <f t="shared" si="19"/>
        <v>1.2000000000000011E-2</v>
      </c>
      <c r="AX12" s="114"/>
      <c r="AY12" s="112">
        <f t="shared" si="84"/>
        <v>0</v>
      </c>
      <c r="AZ12" s="112">
        <f t="shared" si="85"/>
        <v>0</v>
      </c>
      <c r="BA12" s="112">
        <f t="shared" si="86"/>
        <v>0</v>
      </c>
      <c r="BB12" s="261">
        <f t="shared" si="23"/>
        <v>0</v>
      </c>
      <c r="BC12" s="114"/>
      <c r="BD12" s="112">
        <f t="shared" si="87"/>
        <v>0</v>
      </c>
      <c r="BE12" s="112">
        <f t="shared" si="88"/>
        <v>0</v>
      </c>
      <c r="BF12" s="112">
        <f t="shared" si="89"/>
        <v>0</v>
      </c>
      <c r="BG12" s="261">
        <f t="shared" si="27"/>
        <v>0</v>
      </c>
      <c r="BH12" s="114"/>
      <c r="BI12" s="112">
        <f t="shared" si="90"/>
        <v>0</v>
      </c>
      <c r="BJ12" s="112">
        <f t="shared" si="91"/>
        <v>0</v>
      </c>
      <c r="BK12" s="112">
        <f t="shared" si="92"/>
        <v>0</v>
      </c>
      <c r="BL12" s="261">
        <f t="shared" si="51"/>
        <v>0</v>
      </c>
      <c r="BM12" s="114"/>
      <c r="BN12" s="112">
        <f t="shared" si="93"/>
        <v>0</v>
      </c>
      <c r="BO12" s="112">
        <f t="shared" si="94"/>
        <v>0</v>
      </c>
      <c r="BP12" s="112">
        <f t="shared" si="95"/>
        <v>0</v>
      </c>
      <c r="BQ12" s="261">
        <f t="shared" si="52"/>
        <v>0</v>
      </c>
      <c r="BR12" s="114"/>
      <c r="BS12" s="112">
        <f t="shared" si="96"/>
        <v>0</v>
      </c>
      <c r="BT12" s="112">
        <f t="shared" si="97"/>
        <v>0</v>
      </c>
      <c r="BU12" s="112">
        <f t="shared" si="98"/>
        <v>0</v>
      </c>
      <c r="BV12" s="261">
        <f t="shared" si="53"/>
        <v>0</v>
      </c>
      <c r="BW12" s="114"/>
      <c r="BX12" s="112">
        <f t="shared" si="99"/>
        <v>0</v>
      </c>
      <c r="BY12" s="112">
        <f t="shared" si="100"/>
        <v>0</v>
      </c>
      <c r="BZ12" s="112">
        <f t="shared" si="101"/>
        <v>0</v>
      </c>
      <c r="CA12" s="261">
        <f t="shared" si="54"/>
        <v>0</v>
      </c>
      <c r="CB12" s="114"/>
      <c r="CC12" s="112">
        <f t="shared" si="102"/>
        <v>0</v>
      </c>
      <c r="CD12" s="112">
        <f t="shared" si="103"/>
        <v>0</v>
      </c>
      <c r="CE12" s="112">
        <f t="shared" si="104"/>
        <v>0</v>
      </c>
      <c r="CF12" s="261">
        <f t="shared" si="55"/>
        <v>0</v>
      </c>
      <c r="CG12" s="113"/>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row>
    <row r="13" spans="1:175" s="10" customFormat="1" ht="9.75" customHeight="1" thickBot="1" x14ac:dyDescent="0.2">
      <c r="A13" s="483" t="s">
        <v>184</v>
      </c>
      <c r="B13" s="366">
        <v>0.02</v>
      </c>
      <c r="C13" s="297">
        <v>-1.4999999999999999E-2</v>
      </c>
      <c r="D13" s="244"/>
      <c r="E13" s="442"/>
      <c r="F13" s="447">
        <v>0</v>
      </c>
      <c r="G13" s="245">
        <v>0</v>
      </c>
      <c r="H13" s="217">
        <f t="shared" si="56"/>
        <v>0.02</v>
      </c>
      <c r="I13" s="217">
        <f t="shared" si="57"/>
        <v>5.000000000000001E-3</v>
      </c>
      <c r="J13" s="264">
        <f t="shared" si="58"/>
        <v>7.720584325099944E-2</v>
      </c>
      <c r="K13" s="217">
        <f t="shared" si="59"/>
        <v>0</v>
      </c>
      <c r="L13" s="217">
        <f t="shared" si="60"/>
        <v>0</v>
      </c>
      <c r="M13" s="217">
        <f t="shared" si="61"/>
        <v>0</v>
      </c>
      <c r="N13" s="217">
        <f t="shared" si="62"/>
        <v>0</v>
      </c>
      <c r="O13" s="264">
        <f t="shared" si="63"/>
        <v>0</v>
      </c>
      <c r="P13" s="217">
        <f t="shared" si="64"/>
        <v>0</v>
      </c>
      <c r="Q13" s="217">
        <f t="shared" si="65"/>
        <v>0</v>
      </c>
      <c r="R13" s="217">
        <f t="shared" si="66"/>
        <v>0</v>
      </c>
      <c r="S13" s="217">
        <f t="shared" si="67"/>
        <v>0</v>
      </c>
      <c r="T13" s="265">
        <f t="shared" si="68"/>
        <v>0</v>
      </c>
      <c r="U13" s="461">
        <f>SUM(IF((12*(IF(ISBLANK(E13),C13,E13)))+(IF(ISBLANK(D13),B13,D13)) &lt; 0, 0, (12*(IF(ISBLANK(E13),C13,E13)))+(IF(ISBLANK(D13),B13,D13))))*12</f>
        <v>0</v>
      </c>
      <c r="V13" s="264">
        <f>SUM(IF((15*(IF(ISBLANK(E13),C13,E13)))+(IF(ISBLANK(D13),B13,D13)) &lt; 0, 0, (15*(IF(ISBLANK(E13),C13,E13)))+(IF(ISBLANK(D13),B13,D13))))*12</f>
        <v>0</v>
      </c>
      <c r="W13" s="265">
        <f>SUM(IF((18*(IF(ISBLANK(E13),C13,E13)))+(IF(ISBLANK(D13),B13,D13)) &lt; 0, 0, (18*(IF(ISBLANK(E13),C13,E13)))+(IF(ISBLANK(D13),B13,D13))))*12</f>
        <v>0</v>
      </c>
      <c r="X13" s="220"/>
      <c r="Y13" s="500">
        <v>0</v>
      </c>
      <c r="Z13" s="217">
        <f t="shared" si="69"/>
        <v>0</v>
      </c>
      <c r="AA13" s="217">
        <f t="shared" si="70"/>
        <v>0</v>
      </c>
      <c r="AB13" s="217">
        <f t="shared" si="71"/>
        <v>0</v>
      </c>
      <c r="AC13" s="264">
        <f t="shared" si="9"/>
        <v>0</v>
      </c>
      <c r="AD13" s="218"/>
      <c r="AE13" s="217">
        <f t="shared" si="72"/>
        <v>0</v>
      </c>
      <c r="AF13" s="217">
        <f t="shared" si="73"/>
        <v>0</v>
      </c>
      <c r="AG13" s="217">
        <f t="shared" si="74"/>
        <v>0</v>
      </c>
      <c r="AH13" s="264">
        <f t="shared" si="10"/>
        <v>0</v>
      </c>
      <c r="AI13" s="218"/>
      <c r="AJ13" s="217">
        <f t="shared" si="75"/>
        <v>0.02</v>
      </c>
      <c r="AK13" s="217">
        <f t="shared" si="76"/>
        <v>0.02</v>
      </c>
      <c r="AL13" s="217">
        <f t="shared" si="77"/>
        <v>0.02</v>
      </c>
      <c r="AM13" s="264">
        <f t="shared" si="11"/>
        <v>0.06</v>
      </c>
      <c r="AN13" s="218"/>
      <c r="AO13" s="217">
        <f t="shared" si="78"/>
        <v>5.000000000000001E-3</v>
      </c>
      <c r="AP13" s="217">
        <f t="shared" si="79"/>
        <v>5.000000000000001E-3</v>
      </c>
      <c r="AQ13" s="217">
        <f t="shared" si="80"/>
        <v>5.000000000000001E-3</v>
      </c>
      <c r="AR13" s="264">
        <f t="shared" si="15"/>
        <v>1.5000000000000003E-2</v>
      </c>
      <c r="AS13" s="218"/>
      <c r="AT13" s="217">
        <f t="shared" si="81"/>
        <v>0</v>
      </c>
      <c r="AU13" s="217">
        <f t="shared" si="82"/>
        <v>0</v>
      </c>
      <c r="AV13" s="217">
        <f t="shared" si="83"/>
        <v>0</v>
      </c>
      <c r="AW13" s="264">
        <f t="shared" si="19"/>
        <v>0</v>
      </c>
      <c r="AX13" s="218"/>
      <c r="AY13" s="217">
        <f t="shared" si="84"/>
        <v>0</v>
      </c>
      <c r="AZ13" s="217">
        <f t="shared" si="85"/>
        <v>0</v>
      </c>
      <c r="BA13" s="217">
        <f t="shared" si="86"/>
        <v>0</v>
      </c>
      <c r="BB13" s="264">
        <f t="shared" si="23"/>
        <v>0</v>
      </c>
      <c r="BC13" s="218"/>
      <c r="BD13" s="217">
        <f t="shared" si="87"/>
        <v>0</v>
      </c>
      <c r="BE13" s="217">
        <f t="shared" si="88"/>
        <v>0</v>
      </c>
      <c r="BF13" s="217">
        <f t="shared" si="89"/>
        <v>0</v>
      </c>
      <c r="BG13" s="264">
        <f t="shared" si="27"/>
        <v>0</v>
      </c>
      <c r="BH13" s="218"/>
      <c r="BI13" s="217">
        <f t="shared" si="90"/>
        <v>0</v>
      </c>
      <c r="BJ13" s="217">
        <f t="shared" si="91"/>
        <v>0</v>
      </c>
      <c r="BK13" s="217">
        <f t="shared" si="92"/>
        <v>0</v>
      </c>
      <c r="BL13" s="264">
        <f t="shared" si="51"/>
        <v>0</v>
      </c>
      <c r="BM13" s="218"/>
      <c r="BN13" s="217">
        <f t="shared" si="93"/>
        <v>0</v>
      </c>
      <c r="BO13" s="217">
        <f t="shared" si="94"/>
        <v>0</v>
      </c>
      <c r="BP13" s="217">
        <f t="shared" si="95"/>
        <v>0</v>
      </c>
      <c r="BQ13" s="264">
        <f t="shared" si="52"/>
        <v>0</v>
      </c>
      <c r="BR13" s="218"/>
      <c r="BS13" s="217">
        <f t="shared" si="96"/>
        <v>0</v>
      </c>
      <c r="BT13" s="217">
        <f t="shared" si="97"/>
        <v>0</v>
      </c>
      <c r="BU13" s="217">
        <f t="shared" si="98"/>
        <v>0</v>
      </c>
      <c r="BV13" s="264">
        <f t="shared" si="53"/>
        <v>0</v>
      </c>
      <c r="BW13" s="218"/>
      <c r="BX13" s="217">
        <f t="shared" si="99"/>
        <v>0</v>
      </c>
      <c r="BY13" s="217">
        <f t="shared" si="100"/>
        <v>0</v>
      </c>
      <c r="BZ13" s="217">
        <f t="shared" si="101"/>
        <v>0</v>
      </c>
      <c r="CA13" s="264">
        <f t="shared" si="54"/>
        <v>0</v>
      </c>
      <c r="CB13" s="218"/>
      <c r="CC13" s="217">
        <f t="shared" si="102"/>
        <v>0</v>
      </c>
      <c r="CD13" s="217">
        <f t="shared" si="103"/>
        <v>0</v>
      </c>
      <c r="CE13" s="217">
        <f t="shared" si="104"/>
        <v>0</v>
      </c>
      <c r="CF13" s="264">
        <f t="shared" si="55"/>
        <v>0</v>
      </c>
      <c r="CG13" s="219"/>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row>
    <row r="14" spans="1:175" s="10" customFormat="1" ht="9.75" customHeight="1" x14ac:dyDescent="0.15">
      <c r="A14" s="237" t="s">
        <v>185</v>
      </c>
      <c r="B14" s="298">
        <v>5000000</v>
      </c>
      <c r="C14" s="371">
        <v>200000000</v>
      </c>
      <c r="D14" s="238"/>
      <c r="E14" s="239"/>
      <c r="F14" s="240">
        <f>SUM(IF(((1-(Y18/(IF(ISBLANK(D14),B14,(IF(D14=0,9.99999999999999E+29,D14))))))*SUM(F9:F13))&lt;0,0,((1-(Y18/(IF(ISBLANK(D14),B14,(IF(D14=0,9.99999999999999E+29,D14))))))*SUM(F9:F13))))</f>
        <v>9.9970000000000007E-3</v>
      </c>
      <c r="G14" s="241">
        <f>SUM(IF(((1-(F18/(IF(ISBLANK(D14),B14,(IF(D14=0,9.99999999999999E+29,D14))))))*SUM(G9:G13))&lt;0,0,((1-(F18/(IF(ISBLANK(D14),B14,(IF(D14=0,9.99999999999999E+29,D14))))))*SUM(G9:G13))))</f>
        <v>0.1199485148622277</v>
      </c>
      <c r="H14" s="241">
        <f>SUM(IF(((1-(G18/(IF(ISBLANK(D14),B14,(IF(D14=0,9.99999999999999E+29,D14))))))*SUM(H9:H13))&lt;0,0,((1-(G18/(IF(ISBLANK(D14),B14,(IF(D14=0,9.99999999999999E+29,D14))))))*SUM(H9:H13))))</f>
        <v>0.20479012041973083</v>
      </c>
      <c r="I14" s="241">
        <f>SUM(IF(((1-(H18/(IF(ISBLANK(D14),B14,(IF(D14=0,9.99999999999999E+29,D14))))))*SUM(I9:I13))&lt;0,0,((1-(H18/(IF(ISBLANK(D14),B14,(IF(D14=0,9.99999999999999E+29,D14))))))*SUM(I9:I13))))</f>
        <v>0.162355995208145</v>
      </c>
      <c r="J14" s="267">
        <f t="shared" si="58"/>
        <v>2.9747159581258105</v>
      </c>
      <c r="K14" s="241">
        <f>SUM(IF(((1-(I18/(IF(ISBLANK(E14),C14,(IF(E14=0,9.99999999999999E+29,E14))))))*SUM(K9:K13))&lt;0,0,((1-(I18/(IF(ISBLANK(E14),C14,(IF(E14=0,9.99999999999999E+29,E14))))))*SUM(K9:K13))))</f>
        <v>0.13097800182360611</v>
      </c>
      <c r="L14" s="241">
        <f>SUM(IF(((1-(K18/(IF(ISBLANK(E14),C14,(IF(E14=0,9.99999999999999E+29,E14))))))*SUM(L9:L13))&lt;0,0,((1-(K18/(IF(ISBLANK(E14),C14,(IF(E14=0,9.99999999999999E+29,E14))))))*SUM(L9:L13))))</f>
        <v>0.11797286591594985</v>
      </c>
      <c r="M14" s="241">
        <f>SUM(IF(((1-(L18/(IF(ISBLANK(E14),C14,(IF(E14=0,9.99999999999999E+29,E14))))))*SUM(M9:M13))&lt;0,0,((1-(L18/(IF(ISBLANK(E14),C14,(IF(E14=0,9.99999999999999E+29,E14))))))*SUM(M9:M13))))</f>
        <v>0.10896670832931295</v>
      </c>
      <c r="N14" s="241">
        <f>SUM(IF(((1-(M18/(IF(ISBLANK(E14),C14,(IF(E14=0,9.99999999999999E+29,E14))))))*SUM(N9:N13))&lt;0,0,((1-(M18/(IF(ISBLANK(E14),C14,(IF(E14=0,9.99999999999999E+29,E14))))))*SUM(N9:N13))))</f>
        <v>9.9960740866128203E-2</v>
      </c>
      <c r="O14" s="267">
        <f>SUM(((1+K14)*(1+K14)*(1+K14)*(1+L14)*(1+L14)*(1+L14)*(1+M14)*(1+M14)*(1+M14)*(1+N14)*(1+N14)*(1+N14))-1)</f>
        <v>2.6689630894680438</v>
      </c>
      <c r="P14" s="241">
        <f>SUM(IF(((1-(N18/(IF(ISBLANK(E14),C14,(IF(E14=0,9.99999999999999E+29,E14))))))*SUM(P9:P13))&lt;0,0,((1-(N18/(IF(ISBLANK(E14),C14,(IF(E14=0,9.99999999999999E+29,E14))))))*SUM(P9:P13))))</f>
        <v>9.0952548530951402E-2</v>
      </c>
      <c r="Q14" s="241">
        <f>SUM(IF(((1-(P18/(IF(ISBLANK(E14),C14,(IF(E14=0,9.99999999999999E+29,E14))))))*SUM(Q9:Q13))&lt;0,0,((1-(P18/(IF(ISBLANK(E14),C14,(IF(E14=0,9.99999999999999E+29,E14))))))*SUM(Q9:Q13))))</f>
        <v>8.1941747754765079E-2</v>
      </c>
      <c r="R14" s="241">
        <f>SUM(IF(((1-(Q18/(IF(ISBLANK(E14),C14,(IF(E14=0,9.99999999999999E+29,E14))))))*SUM(R9:R13))&lt;0,0,((1-(Q18/(IF(ISBLANK(E14),C14,(IF(E14=0,9.99999999999999E+29,E14))))))*SUM(R9:R13))))</f>
        <v>7.2927657367550094E-2</v>
      </c>
      <c r="S14" s="241">
        <f>SUM(IF(((1-(R18/(IF(ISBLANK(E14),C14,(IF(E14=0,9.99999999999999E+29,E14))))))*SUM(S9:S13))&lt;0,0,((1-(R18/(IF(ISBLANK(E14),C14,(IF(E14=0,9.99999999999999E+29,E14))))))*SUM(S9:S13))))</f>
        <v>6.3909322437475616E-2</v>
      </c>
      <c r="T14" s="268">
        <f t="shared" si="68"/>
        <v>1.4459883508700186</v>
      </c>
      <c r="U14" s="266">
        <f>SUM(IF(((1-(T18/(IF(ISBLANK(E14),C14,(IF(E14=0,9.99999999999999E+29,E14))))))*SUM(U9:U13))&lt;0,0,((1-(T18/(IF(ISBLANK(E14),C14,(IF(E14=0,9.99999999999999E+29,E14))))))*SUM(U9:U13))))</f>
        <v>0.5029529554531007</v>
      </c>
      <c r="V14" s="267">
        <f>SUM(IF(((1-(U18/(IF(ISBLANK(E14),C14,(IF(E14=0,9.99999999999999E+29,E14))))))*SUM(V9:V13))&lt;0,0,((1-(U18/(IF(ISBLANK(E14),C14,(IF(E14=0,9.99999999999999E+29,E14))))))*SUM(V9:V13))))</f>
        <v>0.35836314252605894</v>
      </c>
      <c r="W14" s="268">
        <f>SUM(IF(((1-(V18/(IF(ISBLANK(E14),C14,(IF(E14=0,9.99999999999999E+29,E14))))))*SUM(W9:W13))&lt;0,0,((1-(V18/(IF(ISBLANK(E14),C14,(IF(E14=0,9.99999999999999E+29,E14))))))*SUM(W9:W13))))</f>
        <v>0.21283000355857704</v>
      </c>
      <c r="X14" s="243"/>
      <c r="Y14" s="501">
        <v>0</v>
      </c>
      <c r="Z14" s="241">
        <f>F14</f>
        <v>9.9970000000000007E-3</v>
      </c>
      <c r="AA14" s="241">
        <f>F14</f>
        <v>9.9970000000000007E-3</v>
      </c>
      <c r="AB14" s="241">
        <f>F14</f>
        <v>9.9970000000000007E-3</v>
      </c>
      <c r="AC14" s="267">
        <f t="shared" si="9"/>
        <v>2.9991000000000004E-2</v>
      </c>
      <c r="AD14" s="242"/>
      <c r="AE14" s="241">
        <f>G14</f>
        <v>0.1199485148622277</v>
      </c>
      <c r="AF14" s="241">
        <f>G14</f>
        <v>0.1199485148622277</v>
      </c>
      <c r="AG14" s="241">
        <f>G14</f>
        <v>0.1199485148622277</v>
      </c>
      <c r="AH14" s="267">
        <f t="shared" si="10"/>
        <v>0.35984554458668311</v>
      </c>
      <c r="AI14" s="242"/>
      <c r="AJ14" s="241">
        <f>H14</f>
        <v>0.20479012041973083</v>
      </c>
      <c r="AK14" s="241">
        <f>H14</f>
        <v>0.20479012041973083</v>
      </c>
      <c r="AL14" s="241">
        <f>H14</f>
        <v>0.20479012041973083</v>
      </c>
      <c r="AM14" s="267">
        <f t="shared" si="11"/>
        <v>0.61437036125919242</v>
      </c>
      <c r="AN14" s="242"/>
      <c r="AO14" s="241">
        <f>I14</f>
        <v>0.162355995208145</v>
      </c>
      <c r="AP14" s="241">
        <f>I14</f>
        <v>0.162355995208145</v>
      </c>
      <c r="AQ14" s="241">
        <f>I14</f>
        <v>0.162355995208145</v>
      </c>
      <c r="AR14" s="267">
        <f t="shared" si="15"/>
        <v>0.48706798562443498</v>
      </c>
      <c r="AS14" s="242"/>
      <c r="AT14" s="241">
        <f>K14</f>
        <v>0.13097800182360611</v>
      </c>
      <c r="AU14" s="241">
        <f>K14</f>
        <v>0.13097800182360611</v>
      </c>
      <c r="AV14" s="241">
        <f>K14</f>
        <v>0.13097800182360611</v>
      </c>
      <c r="AW14" s="267">
        <f t="shared" si="19"/>
        <v>0.39293400547081836</v>
      </c>
      <c r="AX14" s="242"/>
      <c r="AY14" s="241">
        <f>L14</f>
        <v>0.11797286591594985</v>
      </c>
      <c r="AZ14" s="241">
        <f>L14</f>
        <v>0.11797286591594985</v>
      </c>
      <c r="BA14" s="241">
        <f>L14</f>
        <v>0.11797286591594985</v>
      </c>
      <c r="BB14" s="267">
        <f t="shared" si="23"/>
        <v>0.35391859774784956</v>
      </c>
      <c r="BC14" s="242"/>
      <c r="BD14" s="241">
        <f>M14</f>
        <v>0.10896670832931295</v>
      </c>
      <c r="BE14" s="241">
        <f>M14</f>
        <v>0.10896670832931295</v>
      </c>
      <c r="BF14" s="241">
        <f>M14</f>
        <v>0.10896670832931295</v>
      </c>
      <c r="BG14" s="267">
        <f t="shared" si="27"/>
        <v>0.32690012498793886</v>
      </c>
      <c r="BH14" s="242"/>
      <c r="BI14" s="241">
        <f>N14</f>
        <v>9.9960740866128203E-2</v>
      </c>
      <c r="BJ14" s="241">
        <f>N14</f>
        <v>9.9960740866128203E-2</v>
      </c>
      <c r="BK14" s="241">
        <f>N14</f>
        <v>9.9960740866128203E-2</v>
      </c>
      <c r="BL14" s="267">
        <f t="shared" si="51"/>
        <v>0.2998822225983846</v>
      </c>
      <c r="BM14" s="242"/>
      <c r="BN14" s="241">
        <f>P14</f>
        <v>9.0952548530951402E-2</v>
      </c>
      <c r="BO14" s="241">
        <f>P14</f>
        <v>9.0952548530951402E-2</v>
      </c>
      <c r="BP14" s="241">
        <f>P14</f>
        <v>9.0952548530951402E-2</v>
      </c>
      <c r="BQ14" s="267">
        <f t="shared" si="52"/>
        <v>0.27285764559285419</v>
      </c>
      <c r="BR14" s="242"/>
      <c r="BS14" s="241">
        <f>Q14</f>
        <v>8.1941747754765079E-2</v>
      </c>
      <c r="BT14" s="241">
        <f>Q14</f>
        <v>8.1941747754765079E-2</v>
      </c>
      <c r="BU14" s="241">
        <f>Q14</f>
        <v>8.1941747754765079E-2</v>
      </c>
      <c r="BV14" s="267">
        <f t="shared" si="53"/>
        <v>0.24582524326429522</v>
      </c>
      <c r="BW14" s="242"/>
      <c r="BX14" s="241">
        <f>R14</f>
        <v>7.2927657367550094E-2</v>
      </c>
      <c r="BY14" s="241">
        <f>R14</f>
        <v>7.2927657367550094E-2</v>
      </c>
      <c r="BZ14" s="241">
        <f>R14</f>
        <v>7.2927657367550094E-2</v>
      </c>
      <c r="CA14" s="267">
        <f t="shared" si="54"/>
        <v>0.2187829721026503</v>
      </c>
      <c r="CB14" s="242"/>
      <c r="CC14" s="241">
        <f>S14</f>
        <v>6.3909322437475616E-2</v>
      </c>
      <c r="CD14" s="241">
        <f>S14</f>
        <v>6.3909322437475616E-2</v>
      </c>
      <c r="CE14" s="241">
        <f>S14</f>
        <v>6.3909322437475616E-2</v>
      </c>
      <c r="CF14" s="267">
        <f t="shared" si="55"/>
        <v>0.19172796731242686</v>
      </c>
      <c r="CG14" s="314"/>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row>
    <row r="15" spans="1:175" s="10" customFormat="1" ht="9.75" customHeight="1" x14ac:dyDescent="0.15">
      <c r="A15" s="53" t="s">
        <v>186</v>
      </c>
      <c r="B15" s="260">
        <v>0.2</v>
      </c>
      <c r="C15" s="293">
        <v>-1.7999999999999999E-2</v>
      </c>
      <c r="D15" s="118"/>
      <c r="E15" s="117"/>
      <c r="F15" s="223">
        <v>0.8</v>
      </c>
      <c r="G15" s="224">
        <v>0.5</v>
      </c>
      <c r="H15" s="225">
        <f>SUM(IF(     IF(ISBLANK(D15),B15,D15)   &gt;   0,   (     IF(ISBLANK(D15),B15,D15)   ),0))</f>
        <v>0.2</v>
      </c>
      <c r="I15" s="225">
        <f>SUM(IF(     IF(ISBLANK(D15),B15,D15)     +   (1* (IF(ISBLANK(E15),C15,E15))) &gt;   0,   (     IF(ISBLANK(D15),B15,D15)    +  (1* (IF(ISBLANK(E15),C15,E15)) )  ),0))</f>
        <v>0.18200000000000002</v>
      </c>
      <c r="J15" s="439">
        <f t="shared" si="58"/>
        <v>55.167806032543233</v>
      </c>
      <c r="K15" s="225">
        <f>SUM(IF(     IF(ISBLANK(D15),B15,D15)    +   (2* (IF(ISBLANK(E15),C15,E15))) &gt;   0,   (     IF(ISBLANK(D15),B15,D15)    +  (2* (IF(ISBLANK(E15),C15,E15)) )  ),0))</f>
        <v>0.16400000000000001</v>
      </c>
      <c r="L15" s="225">
        <f>SUM(IF(     IF(ISBLANK(D15),B15,D15)    +   (3* (IF(ISBLANK(E15),C15,E15))) &gt;   0,   (     IF(ISBLANK(D15),B15,D15)    +  (3* (IF(ISBLANK(E15),C15,E15)) )  ),0))</f>
        <v>0.14600000000000002</v>
      </c>
      <c r="M15" s="225">
        <f>SUM(IF(     IF(ISBLANK(D15),B15,D15)     +   (4* (IF(ISBLANK(E15),C15,E15))) &gt;   0,   (     IF(ISBLANK(D15),B15,D15)   +  (4* (IF(ISBLANK(E15),C15,E15)) )  ),0))</f>
        <v>0.128</v>
      </c>
      <c r="N15" s="225">
        <f>SUM(IF(     IF(ISBLANK(D15),B15,D15)     +  (5* (IF(ISBLANK(E15),C15,E15))) &gt;   0,   (     IF(ISBLANK(D15),B15,D15)   +  (5* (IF(ISBLANK(E15),C15,E15)) )  ),0))</f>
        <v>0.11000000000000001</v>
      </c>
      <c r="O15" s="439">
        <f t="shared" si="63"/>
        <v>3.6591750660109783</v>
      </c>
      <c r="P15" s="225">
        <f>SUM(IF(     IF(ISBLANK(D15),B15,D15)     +   (6* (IF(ISBLANK(E15),C15,E15))) &gt;   0,   (     IF(ISBLANK(D15),B15,D15)    +  (6* (IF(ISBLANK(E15),C15,E15)) )  ),0))</f>
        <v>9.2000000000000026E-2</v>
      </c>
      <c r="Q15" s="225">
        <f>SUM(IF(     IF(ISBLANK(D15),B15,D15)     +   (7* (IF(ISBLANK(E15),C15,E15))) &gt;   0,   (     IF(ISBLANK(D15),B15,D15)    +  (7* (IF(ISBLANK(E15),C15,E15)) )  ),0))</f>
        <v>7.400000000000001E-2</v>
      </c>
      <c r="R15" s="225">
        <f>SUM(IF(     IF(ISBLANK(D15),B15,D15)     +   (8* (IF(ISBLANK(E15),C15,E15))) &gt;   0,   (     IF(ISBLANK(D15),B15,D15)    +  (8* (IF(ISBLANK(E15),C15,E15)) )  ),0))</f>
        <v>5.6000000000000022E-2</v>
      </c>
      <c r="S15" s="225">
        <f>SUM(IF(     IF(ISBLANK(D15),B15,D15)     +   (9* (IF(ISBLANK(E15),C15,E15))) &gt;   0,   (     IF(ISBLANK(D15),B15,D15)   +  (9* (IF(ISBLANK(E15),C15,E15)) )  ),0))</f>
        <v>3.8000000000000034E-2</v>
      </c>
      <c r="T15" s="450">
        <f t="shared" si="68"/>
        <v>1.1245383470160082</v>
      </c>
      <c r="U15" s="270">
        <v>0.2</v>
      </c>
      <c r="V15" s="271">
        <v>0.2</v>
      </c>
      <c r="W15" s="272">
        <v>0.2</v>
      </c>
      <c r="X15" s="226"/>
      <c r="Y15" s="502">
        <v>0.7</v>
      </c>
      <c r="Z15" s="225">
        <f>F15</f>
        <v>0.8</v>
      </c>
      <c r="AA15" s="225">
        <f>F15</f>
        <v>0.8</v>
      </c>
      <c r="AB15" s="225">
        <f>F15</f>
        <v>0.8</v>
      </c>
      <c r="AC15" s="271">
        <f t="shared" si="9"/>
        <v>2.4000000000000004</v>
      </c>
      <c r="AD15" s="221"/>
      <c r="AE15" s="225">
        <f>G15</f>
        <v>0.5</v>
      </c>
      <c r="AF15" s="225">
        <f>G15</f>
        <v>0.5</v>
      </c>
      <c r="AG15" s="225">
        <f>G15</f>
        <v>0.5</v>
      </c>
      <c r="AH15" s="271">
        <f t="shared" si="10"/>
        <v>1.5</v>
      </c>
      <c r="AI15" s="221"/>
      <c r="AJ15" s="225">
        <f>H15</f>
        <v>0.2</v>
      </c>
      <c r="AK15" s="225">
        <f>H15</f>
        <v>0.2</v>
      </c>
      <c r="AL15" s="225">
        <f>H15</f>
        <v>0.2</v>
      </c>
      <c r="AM15" s="271">
        <f t="shared" si="11"/>
        <v>0.60000000000000009</v>
      </c>
      <c r="AN15" s="221"/>
      <c r="AO15" s="225">
        <f>I15</f>
        <v>0.18200000000000002</v>
      </c>
      <c r="AP15" s="225">
        <f>I15</f>
        <v>0.18200000000000002</v>
      </c>
      <c r="AQ15" s="225">
        <f>I15</f>
        <v>0.18200000000000002</v>
      </c>
      <c r="AR15" s="271">
        <f t="shared" si="15"/>
        <v>0.54600000000000004</v>
      </c>
      <c r="AS15" s="221"/>
      <c r="AT15" s="225">
        <f>K15</f>
        <v>0.16400000000000001</v>
      </c>
      <c r="AU15" s="225">
        <f>K15</f>
        <v>0.16400000000000001</v>
      </c>
      <c r="AV15" s="225">
        <f>K15</f>
        <v>0.16400000000000001</v>
      </c>
      <c r="AW15" s="271">
        <f t="shared" si="19"/>
        <v>0.49199999999999999</v>
      </c>
      <c r="AX15" s="221"/>
      <c r="AY15" s="225">
        <f>L15</f>
        <v>0.14600000000000002</v>
      </c>
      <c r="AZ15" s="225">
        <f>L15</f>
        <v>0.14600000000000002</v>
      </c>
      <c r="BA15" s="225">
        <f>L15</f>
        <v>0.14600000000000002</v>
      </c>
      <c r="BB15" s="271">
        <f t="shared" si="23"/>
        <v>0.43800000000000006</v>
      </c>
      <c r="BC15" s="221"/>
      <c r="BD15" s="225">
        <f>M15</f>
        <v>0.128</v>
      </c>
      <c r="BE15" s="225">
        <f>M15</f>
        <v>0.128</v>
      </c>
      <c r="BF15" s="225">
        <f>M15</f>
        <v>0.128</v>
      </c>
      <c r="BG15" s="271">
        <f t="shared" si="27"/>
        <v>0.38400000000000001</v>
      </c>
      <c r="BH15" s="221"/>
      <c r="BI15" s="225">
        <f>N15</f>
        <v>0.11000000000000001</v>
      </c>
      <c r="BJ15" s="225">
        <f>N15</f>
        <v>0.11000000000000001</v>
      </c>
      <c r="BK15" s="225">
        <f>N15</f>
        <v>0.11000000000000001</v>
      </c>
      <c r="BL15" s="271">
        <f t="shared" si="51"/>
        <v>0.33000000000000007</v>
      </c>
      <c r="BM15" s="221"/>
      <c r="BN15" s="225">
        <f>P15</f>
        <v>9.2000000000000026E-2</v>
      </c>
      <c r="BO15" s="225">
        <f>P15</f>
        <v>9.2000000000000026E-2</v>
      </c>
      <c r="BP15" s="225">
        <f>P15</f>
        <v>9.2000000000000026E-2</v>
      </c>
      <c r="BQ15" s="271">
        <f t="shared" si="52"/>
        <v>0.27600000000000008</v>
      </c>
      <c r="BR15" s="221"/>
      <c r="BS15" s="225">
        <f>Q15</f>
        <v>7.400000000000001E-2</v>
      </c>
      <c r="BT15" s="225">
        <f>Q15</f>
        <v>7.400000000000001E-2</v>
      </c>
      <c r="BU15" s="225">
        <f>Q15</f>
        <v>7.400000000000001E-2</v>
      </c>
      <c r="BV15" s="271">
        <f t="shared" si="53"/>
        <v>0.22200000000000003</v>
      </c>
      <c r="BW15" s="221"/>
      <c r="BX15" s="225">
        <f>R15</f>
        <v>5.6000000000000022E-2</v>
      </c>
      <c r="BY15" s="225">
        <f>R15</f>
        <v>5.6000000000000022E-2</v>
      </c>
      <c r="BZ15" s="225">
        <f>R15</f>
        <v>5.6000000000000022E-2</v>
      </c>
      <c r="CA15" s="271">
        <f t="shared" si="54"/>
        <v>0.16800000000000007</v>
      </c>
      <c r="CB15" s="221"/>
      <c r="CC15" s="225">
        <f>S15</f>
        <v>3.8000000000000034E-2</v>
      </c>
      <c r="CD15" s="225">
        <f>S15</f>
        <v>3.8000000000000034E-2</v>
      </c>
      <c r="CE15" s="225">
        <f>S15</f>
        <v>3.8000000000000034E-2</v>
      </c>
      <c r="CF15" s="271">
        <f t="shared" si="55"/>
        <v>0.1140000000000001</v>
      </c>
      <c r="CG15" s="222"/>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row>
    <row r="16" spans="1:175" s="11" customFormat="1" ht="9.75" customHeight="1" x14ac:dyDescent="0.15">
      <c r="A16" s="193" t="s">
        <v>187</v>
      </c>
      <c r="B16" s="317"/>
      <c r="C16" s="318"/>
      <c r="D16" s="300"/>
      <c r="E16" s="301"/>
      <c r="F16" s="451">
        <f>SUM((F18/Y18)-1)/3</f>
        <v>0.14338090529920011</v>
      </c>
      <c r="G16" s="451">
        <f>SUM((G18/F18)-1)/3</f>
        <v>0.4620828779306933</v>
      </c>
      <c r="H16" s="451">
        <f>SUM((H18/G18)-1)/3</f>
        <v>0.95303077417689119</v>
      </c>
      <c r="I16" s="451">
        <f>SUM((I18/H18)-1)/3</f>
        <v>0.23336590204669286</v>
      </c>
      <c r="J16" s="457" t="s">
        <v>50</v>
      </c>
      <c r="K16" s="452">
        <f>SUM((K18/I18)-1)/3</f>
        <v>0.12312014343907245</v>
      </c>
      <c r="L16" s="452">
        <f>SUM((L18/K18)-1)/3</f>
        <v>0.10941269982853001</v>
      </c>
      <c r="M16" s="452">
        <f>SUM((M18/L18)-1)/3</f>
        <v>9.5126749295248406E-2</v>
      </c>
      <c r="N16" s="452">
        <f>SUM((N18/M18)-1)/3</f>
        <v>0.10940415931602687</v>
      </c>
      <c r="O16" s="453">
        <f>SUM(O18/J18)-1</f>
        <v>2.1052236520986116</v>
      </c>
      <c r="P16" s="452">
        <f>SUM((P18/N18)-1)/3</f>
        <v>0.12078526855755729</v>
      </c>
      <c r="Q16" s="452">
        <f>SUM((Q18/P18)-1)/3</f>
        <v>0.13166497879365427</v>
      </c>
      <c r="R16" s="452">
        <f>SUM((R18/Q18)-1)/3</f>
        <v>0.14323717219810236</v>
      </c>
      <c r="S16" s="452">
        <f>SUM((S18/R18)-1)/3</f>
        <v>0.15542424535188135</v>
      </c>
      <c r="T16" s="454">
        <f>SUM(T18/O18)-1</f>
        <v>2.9840644272404355</v>
      </c>
      <c r="U16" s="455">
        <f>SUM(U18/T18)-1</f>
        <v>1.1886370262888168</v>
      </c>
      <c r="V16" s="453">
        <f>SUM(V18/U18)-1</f>
        <v>2.2277259849941244</v>
      </c>
      <c r="W16" s="456">
        <f>SUM(W18/V18)-1</f>
        <v>0.95839927033166328</v>
      </c>
      <c r="X16" s="462"/>
      <c r="Y16" s="503">
        <v>0</v>
      </c>
      <c r="Z16" s="452">
        <f>SUM((Z18/Y18)-1)</f>
        <v>0.34299033333333329</v>
      </c>
      <c r="AA16" s="452">
        <f t="shared" ref="AA16:AB16" si="105">SUM((AA18/Z18)-1)</f>
        <v>5.3631764310788199E-2</v>
      </c>
      <c r="AB16" s="452">
        <f t="shared" si="105"/>
        <v>1.0689227481044838E-2</v>
      </c>
      <c r="AC16" s="453">
        <f t="shared" si="9"/>
        <v>0.40731132512516632</v>
      </c>
      <c r="AD16" s="458"/>
      <c r="AE16" s="452">
        <f>SUM((AE18/AB18)-1)</f>
        <v>0.69164258472438633</v>
      </c>
      <c r="AF16" s="452">
        <f>SUM((AF18/AE18)-1)</f>
        <v>0.2534712693374388</v>
      </c>
      <c r="AG16" s="452">
        <f>SUM((AG18/AF18)-1)</f>
        <v>0.12536317411491193</v>
      </c>
      <c r="AH16" s="453">
        <f t="shared" si="10"/>
        <v>1.0704770281767371</v>
      </c>
      <c r="AI16" s="458"/>
      <c r="AJ16" s="452">
        <f>SUM((AJ18/AG18)-1)</f>
        <v>0.94848018549981039</v>
      </c>
      <c r="AK16" s="452">
        <f>SUM((AK18/AJ18)-1)</f>
        <v>0.48911121955269987</v>
      </c>
      <c r="AL16" s="452">
        <f>SUM((AL18/AK18)-1)</f>
        <v>0.33003184365276739</v>
      </c>
      <c r="AM16" s="453">
        <f t="shared" si="11"/>
        <v>1.7676232487052776</v>
      </c>
      <c r="AN16" s="458"/>
      <c r="AO16" s="452">
        <f>SUM((AO18/AL18)-1)</f>
        <v>0.23801077170503482</v>
      </c>
      <c r="AP16" s="452">
        <f>SUM((AP18/AO18)-1)</f>
        <v>0.18847597476376543</v>
      </c>
      <c r="AQ16" s="452">
        <f>SUM((AQ18/AP18)-1)</f>
        <v>0.15547100297848604</v>
      </c>
      <c r="AR16" s="453">
        <f t="shared" si="15"/>
        <v>0.58195774944728629</v>
      </c>
      <c r="AS16" s="458"/>
      <c r="AT16" s="452">
        <f>SUM((AT18/AQ18)-1)</f>
        <v>0.12727681509371225</v>
      </c>
      <c r="AU16" s="452">
        <f>SUM((AU18/AT18)-1)</f>
        <v>0.10917804632357253</v>
      </c>
      <c r="AV16" s="452">
        <f>SUM((AV18/AU18)-1)</f>
        <v>9.5181084251441561E-2</v>
      </c>
      <c r="AW16" s="453">
        <f t="shared" si="19"/>
        <v>0.33163594566872634</v>
      </c>
      <c r="AX16" s="458"/>
      <c r="AY16" s="452">
        <f>SUM((AY18/AV18)-1)</f>
        <v>0.11253733193597748</v>
      </c>
      <c r="AZ16" s="452">
        <f>SUM((AZ18/AY18)-1)</f>
        <v>9.8318707970009411E-2</v>
      </c>
      <c r="BA16" s="452">
        <f>SUM((BA18/AZ18)-1)</f>
        <v>8.7008548306884315E-2</v>
      </c>
      <c r="BB16" s="453">
        <f t="shared" si="23"/>
        <v>0.29786458821287121</v>
      </c>
      <c r="BC16" s="458"/>
      <c r="BD16" s="452">
        <f>SUM((BD18/BA18)-1)</f>
        <v>9.6960518620752278E-2</v>
      </c>
      <c r="BE16" s="452">
        <f>SUM((BE18/BD18)-1)</f>
        <v>8.6707806867009296E-2</v>
      </c>
      <c r="BF16" s="452">
        <f>SUM((BF18/BE18)-1)</f>
        <v>7.8270783877043781E-2</v>
      </c>
      <c r="BG16" s="453">
        <f t="shared" si="27"/>
        <v>0.26193910936480536</v>
      </c>
      <c r="BH16" s="458"/>
      <c r="BI16" s="452">
        <f>SUM((BI18/BF18)-1)</f>
        <v>0.11050988403565598</v>
      </c>
      <c r="BJ16" s="452">
        <f>SUM((BJ18/BI18)-1)</f>
        <v>9.8513708203479045E-2</v>
      </c>
      <c r="BK16" s="452">
        <f>SUM((BK18/BJ18)-1)</f>
        <v>8.8778777024165256E-2</v>
      </c>
      <c r="BL16" s="453">
        <f>SUM(BI16:BK16)</f>
        <v>0.29780236926330028</v>
      </c>
      <c r="BM16" s="458"/>
      <c r="BN16" s="452">
        <f>SUM((BN18/BK18)-1)</f>
        <v>0.12091187365757339</v>
      </c>
      <c r="BO16" s="452">
        <f>SUM((BO18/BN18)-1)</f>
        <v>0.10775621810817215</v>
      </c>
      <c r="BP16" s="452">
        <f>SUM((BP18/BO18)-1)</f>
        <v>9.7172416583721777E-2</v>
      </c>
      <c r="BQ16" s="453">
        <f>SUM(BN16:BP16)</f>
        <v>0.32584050834946732</v>
      </c>
      <c r="BR16" s="458"/>
      <c r="BS16" s="452">
        <f>SUM((BS18/BP18)-1)</f>
        <v>0.13062484301123356</v>
      </c>
      <c r="BT16" s="452">
        <f>SUM((BT18/BS18)-1)</f>
        <v>0.1164508575755987</v>
      </c>
      <c r="BU16" s="452">
        <f>SUM((BU18/BT18)-1)</f>
        <v>0.10513286824569623</v>
      </c>
      <c r="BV16" s="453">
        <f>SUM(BS16:BU16)</f>
        <v>0.35220856883252849</v>
      </c>
      <c r="BW16" s="458"/>
      <c r="BX16" s="452">
        <f>SUM((BX18/BU18)-1)</f>
        <v>0.14083963479145023</v>
      </c>
      <c r="BY16" s="452">
        <f>SUM((BY18/BX18)-1)</f>
        <v>0.12554237730279461</v>
      </c>
      <c r="BZ16" s="452">
        <f>SUM((BZ18/BY18)-1)</f>
        <v>0.11342755121919224</v>
      </c>
      <c r="CA16" s="453">
        <f t="shared" si="54"/>
        <v>0.37980956331343707</v>
      </c>
      <c r="CB16" s="458"/>
      <c r="CC16" s="452">
        <f>SUM((CC18/BZ18)-1)</f>
        <v>0.15146597196426126</v>
      </c>
      <c r="CD16" s="452">
        <f>SUM((CD18/CC18)-1)</f>
        <v>0.13495001715518518</v>
      </c>
      <c r="CE16" s="452">
        <f>SUM((CE18/CD18)-1)</f>
        <v>0.12198465004619785</v>
      </c>
      <c r="CF16" s="453">
        <f t="shared" si="55"/>
        <v>0.40840063916564429</v>
      </c>
      <c r="CG16" s="113"/>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row>
    <row r="17" spans="1:175" s="11" customFormat="1" ht="9.75" customHeight="1" x14ac:dyDescent="0.15">
      <c r="A17" s="54" t="s">
        <v>188</v>
      </c>
      <c r="B17" s="319"/>
      <c r="C17" s="320"/>
      <c r="D17" s="204"/>
      <c r="E17" s="205"/>
      <c r="F17" s="99">
        <f>AC17</f>
        <v>645.21407384639997</v>
      </c>
      <c r="G17" s="36">
        <f>AH17</f>
        <v>2973.800079061115</v>
      </c>
      <c r="H17" s="36">
        <f>AM17</f>
        <v>14635.734063503736</v>
      </c>
      <c r="I17" s="36">
        <f>AR17</f>
        <v>13830.253911684324</v>
      </c>
      <c r="J17" s="191">
        <f>SUM(J18-Y18)</f>
        <v>32085.002128095577</v>
      </c>
      <c r="K17" s="36">
        <f>AW17</f>
        <v>12404.970838238041</v>
      </c>
      <c r="L17" s="36">
        <f>BB17</f>
        <v>15095.661321863005</v>
      </c>
      <c r="M17" s="36">
        <f>BG17</f>
        <v>17432.633455423522</v>
      </c>
      <c r="N17" s="36">
        <f>BL17</f>
        <v>25770.675220324421</v>
      </c>
      <c r="O17" s="191">
        <f>SUM(O18-J18)</f>
        <v>70703.940835849004</v>
      </c>
      <c r="P17" s="36">
        <f>BQ17</f>
        <v>37789.703950451483</v>
      </c>
      <c r="Q17" s="36">
        <f>BV17</f>
        <v>56120.346099045142</v>
      </c>
      <c r="R17" s="36">
        <f>CA17</f>
        <v>85168.389875270295</v>
      </c>
      <c r="S17" s="36">
        <f>CF17</f>
        <v>132126.48492844682</v>
      </c>
      <c r="T17" s="192">
        <f>SUM(T18-O18)</f>
        <v>311204.92485321377</v>
      </c>
      <c r="U17" s="197">
        <f>SUM((U8+(T18*U14))-(T18*U15))</f>
        <v>493871.39548342582</v>
      </c>
      <c r="V17" s="191">
        <f>SUM((V8+(U18*V14))-(U18*V15))</f>
        <v>2025816.6269057351</v>
      </c>
      <c r="W17" s="198">
        <f>SUM((W8+(V18*W14))-(V18*W15))</f>
        <v>2813076.1818644488</v>
      </c>
      <c r="X17" s="175"/>
      <c r="Y17" s="507">
        <v>1500</v>
      </c>
      <c r="Z17" s="36">
        <f>SUM((Z8+(Y18*Z14))-(Y18*Z15))</f>
        <v>514.4855</v>
      </c>
      <c r="AA17" s="36">
        <f>SUM((AA8+(Z18*AA14))-(Z18*AA15))</f>
        <v>108.04041154349989</v>
      </c>
      <c r="AB17" s="36">
        <f>SUM((AB8+(AA18*AB14))-(AA18*AB15))</f>
        <v>22.688162302900082</v>
      </c>
      <c r="AC17" s="191">
        <f t="shared" si="9"/>
        <v>645.21407384639997</v>
      </c>
      <c r="AD17" s="191"/>
      <c r="AE17" s="36">
        <f>SUM((AE8+(AB18*AE14))-(AB18*AE15))</f>
        <v>1483.7214068222552</v>
      </c>
      <c r="AF17" s="36">
        <f>SUM((AF8+(AE18*AF14))-(AE18*AF15))</f>
        <v>919.83088262875231</v>
      </c>
      <c r="AG17" s="36">
        <f>SUM((AG8+(AF18*AG14))-(AF18*AG15))</f>
        <v>570.24778961010725</v>
      </c>
      <c r="AH17" s="191">
        <f t="shared" si="10"/>
        <v>2973.800079061115</v>
      </c>
      <c r="AI17" s="191"/>
      <c r="AJ17" s="36">
        <f>SUM((AJ8+(AG18*AJ14))-(AG18*AJ15))</f>
        <v>4855.2834933258746</v>
      </c>
      <c r="AK17" s="36">
        <f>SUM((AK8+(AJ18*AK14))-(AJ18*AK15))</f>
        <v>4878.5408859308372</v>
      </c>
      <c r="AL17" s="36">
        <f>SUM((AL8+(AK18*AL14))-(AK18*AL15))</f>
        <v>4901.9096842470253</v>
      </c>
      <c r="AM17" s="191">
        <f t="shared" si="11"/>
        <v>14635.734063503736</v>
      </c>
      <c r="AN17" s="191"/>
      <c r="AO17" s="36">
        <f>SUM((AO8+(AL18*AO14))-(AL18*AO15))</f>
        <v>4701.842867826701</v>
      </c>
      <c r="AP17" s="36">
        <f>SUM((AP8+(AO18*AP14))-(AO18*AP15))</f>
        <v>4609.4798440005652</v>
      </c>
      <c r="AQ17" s="36">
        <f>SUM((AQ8+(AP18*AQ14))-(AP18*AQ15))</f>
        <v>4518.9311998570574</v>
      </c>
      <c r="AR17" s="191">
        <f t="shared" si="15"/>
        <v>13830.253911684324</v>
      </c>
      <c r="AS17" s="191"/>
      <c r="AT17" s="36">
        <f>SUM((AT8+(AQ18*AT14))-(AQ18*AT15))</f>
        <v>4274.5921057795586</v>
      </c>
      <c r="AU17" s="36">
        <f>SUM((AU8+(AT18*AU14))-(AT18*AU15))</f>
        <v>4133.4365330576766</v>
      </c>
      <c r="AV17" s="36">
        <f>SUM((AV8+(AU18*AV14))-(AU18*AV15))</f>
        <v>3996.9421994008053</v>
      </c>
      <c r="AW17" s="191">
        <f t="shared" si="19"/>
        <v>12404.970838238041</v>
      </c>
      <c r="AX17" s="191"/>
      <c r="AY17" s="36">
        <f>SUM((AY8+(AV18*AY14))-(AV18*AY15))</f>
        <v>5175.5888534389187</v>
      </c>
      <c r="AZ17" s="36">
        <f>SUM((AZ8+(AY18*AZ14))-(AY18*AZ15))</f>
        <v>5030.5319306796709</v>
      </c>
      <c r="BA17" s="36">
        <f>SUM((BA8+(AZ18*BA14))-(AZ18*BA15))</f>
        <v>4889.5405377444149</v>
      </c>
      <c r="BB17" s="191">
        <f t="shared" si="23"/>
        <v>15095.661321863005</v>
      </c>
      <c r="BC17" s="191"/>
      <c r="BD17" s="36">
        <f>SUM((BD8+(BA18*BD14))-(BA18*BD15))</f>
        <v>5922.8947808611538</v>
      </c>
      <c r="BE17" s="36">
        <f>SUM((BE8+(BD18*BE14))-(BD18*BE15))</f>
        <v>5810.1625969622346</v>
      </c>
      <c r="BF17" s="36">
        <f>SUM((BF8+(BE18*BF14))-(BE18*BF15))</f>
        <v>5699.5760776001352</v>
      </c>
      <c r="BG17" s="191">
        <f t="shared" si="27"/>
        <v>17432.633455423522</v>
      </c>
      <c r="BH17" s="191"/>
      <c r="BI17" s="36">
        <f>SUM((BI8+(BF18*BI14))-(BF18*BI15))</f>
        <v>8677.0446630280512</v>
      </c>
      <c r="BJ17" s="36">
        <f>SUM((BJ8+(BI18*BJ14))-(BI18*BJ15))</f>
        <v>8589.9335631397353</v>
      </c>
      <c r="BK17" s="36">
        <f>SUM((BK8+(BJ18*BK14))-(BJ18*BK15))</f>
        <v>8503.6969941566349</v>
      </c>
      <c r="BL17" s="191">
        <f>SUM(BI17:BK17)</f>
        <v>25770.675220324421</v>
      </c>
      <c r="BM17" s="191"/>
      <c r="BN17" s="36">
        <f>SUM((BN8+(BK18*BN14))-(BK18*BN15))</f>
        <v>12609.771495538345</v>
      </c>
      <c r="BO17" s="36">
        <f>SUM((BO8+(BN18*BO14))-(BN18*BO15))</f>
        <v>12596.563371860981</v>
      </c>
      <c r="BP17" s="36">
        <f>SUM((BP8+(BO18*BP14))-(BO18*BP15))</f>
        <v>12583.369083052159</v>
      </c>
      <c r="BQ17" s="191">
        <f>SUM(BN17:BP17)</f>
        <v>37789.703950451483</v>
      </c>
      <c r="BR17" s="191"/>
      <c r="BS17" s="36">
        <f>SUM((BS8+(BP18*BS14))-(BP18*BS15))</f>
        <v>18559.00094844148</v>
      </c>
      <c r="BT17" s="36">
        <f>SUM((BT8+(BS18*BT14))-(BS18*BT15))</f>
        <v>18706.391852554443</v>
      </c>
      <c r="BU17" s="36">
        <f>SUM((BU8+(BT18*BU14))-(BT18*BU15))</f>
        <v>18854.953298049226</v>
      </c>
      <c r="BV17" s="191">
        <f>SUM(BS17:BU17)</f>
        <v>56120.346099045142</v>
      </c>
      <c r="BW17" s="191"/>
      <c r="BX17" s="36">
        <f>SUM((BX8+(BU18*BX14))-(BU18*BX15))</f>
        <v>27914.273792046231</v>
      </c>
      <c r="BY17" s="36">
        <f>SUM((BY8+(BX18*BY14))-(BX18*BY15))</f>
        <v>28386.797054461975</v>
      </c>
      <c r="BZ17" s="36">
        <f>SUM((BZ8+(BY18*BZ14))-(BY18*BZ15))</f>
        <v>28867.319028762089</v>
      </c>
      <c r="CA17" s="191">
        <f>SUM(BX17:BZ17)</f>
        <v>85168.389875270295</v>
      </c>
      <c r="CB17" s="191"/>
      <c r="CC17" s="36">
        <f>SUM((CC8+(BZ18*CC14))-(BZ18*CC15))</f>
        <v>42920.516072207669</v>
      </c>
      <c r="CD17" s="36">
        <f>SUM((CD8+(CC18*CD14))-(CC18*CD15))</f>
        <v>44032.557562305352</v>
      </c>
      <c r="CE17" s="36">
        <f>SUM((CE8+(CD18*CE14))-(CD18*CE15))</f>
        <v>45173.411293933823</v>
      </c>
      <c r="CF17" s="191">
        <f>SUM(CC17:CE17)</f>
        <v>132126.48492844682</v>
      </c>
      <c r="CG17" s="198"/>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row>
    <row r="18" spans="1:175" s="9" customFormat="1" ht="9.75" customHeight="1" x14ac:dyDescent="0.15">
      <c r="A18" s="52" t="s">
        <v>189</v>
      </c>
      <c r="B18" s="321"/>
      <c r="C18" s="322"/>
      <c r="D18" s="202"/>
      <c r="E18" s="203"/>
      <c r="F18" s="99">
        <f>AC18</f>
        <v>2145.2140738464004</v>
      </c>
      <c r="G18" s="36">
        <f>AH18</f>
        <v>5119.0141529075154</v>
      </c>
      <c r="H18" s="36">
        <f>AM18</f>
        <v>19754.748216411252</v>
      </c>
      <c r="I18" s="36">
        <f>AR18</f>
        <v>33585.002128095577</v>
      </c>
      <c r="J18" s="191">
        <f>AQ18</f>
        <v>33585.002128095577</v>
      </c>
      <c r="K18" s="36">
        <f>AW18</f>
        <v>45989.972966333618</v>
      </c>
      <c r="L18" s="36">
        <f>BB18</f>
        <v>61085.634288196627</v>
      </c>
      <c r="M18" s="36">
        <f>BG18</f>
        <v>78518.267743620163</v>
      </c>
      <c r="N18" s="36">
        <f>BL18</f>
        <v>104288.94296394459</v>
      </c>
      <c r="O18" s="191">
        <f>BK18</f>
        <v>104288.94296394459</v>
      </c>
      <c r="P18" s="36">
        <f>BQ18</f>
        <v>142078.64691439606</v>
      </c>
      <c r="Q18" s="36">
        <f>BV18</f>
        <v>198198.99301344121</v>
      </c>
      <c r="R18" s="36">
        <f>CA18</f>
        <v>283367.38288871152</v>
      </c>
      <c r="S18" s="36">
        <f>CF18</f>
        <v>415493.86781715835</v>
      </c>
      <c r="T18" s="192">
        <f>CE18</f>
        <v>415493.86781715835</v>
      </c>
      <c r="U18" s="197">
        <f>SUM(T18+U17)</f>
        <v>909365.26330058416</v>
      </c>
      <c r="V18" s="191">
        <f>SUM(U18+V17)</f>
        <v>2935181.8902063193</v>
      </c>
      <c r="W18" s="198">
        <f>SUM(V18+W17)</f>
        <v>5748258.0720707681</v>
      </c>
      <c r="X18" s="175"/>
      <c r="Y18" s="508">
        <v>1500</v>
      </c>
      <c r="Z18" s="36">
        <f>SUM(Y18+Z17)</f>
        <v>2014.4855</v>
      </c>
      <c r="AA18" s="36">
        <f>SUM(Z18+AA17)</f>
        <v>2122.5259115435001</v>
      </c>
      <c r="AB18" s="36">
        <f>SUM(AA18+AB17)</f>
        <v>2145.2140738464004</v>
      </c>
      <c r="AC18" s="191">
        <f>AB18</f>
        <v>2145.2140738464004</v>
      </c>
      <c r="AD18" s="191"/>
      <c r="AE18" s="36">
        <f>SUM(AB18+AE17)</f>
        <v>3628.9354806686556</v>
      </c>
      <c r="AF18" s="36">
        <f>SUM(AE18+AF17)</f>
        <v>4548.7663632974081</v>
      </c>
      <c r="AG18" s="36">
        <f>SUM(AF18+AG17)</f>
        <v>5119.0141529075154</v>
      </c>
      <c r="AH18" s="191">
        <f>AG18</f>
        <v>5119.0141529075154</v>
      </c>
      <c r="AI18" s="191"/>
      <c r="AJ18" s="36">
        <f>SUM(AG18+AJ17)</f>
        <v>9974.29764623339</v>
      </c>
      <c r="AK18" s="36">
        <f>SUM(AJ18+AK17)</f>
        <v>14852.838532164227</v>
      </c>
      <c r="AL18" s="36">
        <f>SUM(AK18+AL17)</f>
        <v>19754.748216411252</v>
      </c>
      <c r="AM18" s="191">
        <f>AL18</f>
        <v>19754.748216411252</v>
      </c>
      <c r="AN18" s="191"/>
      <c r="AO18" s="36">
        <f>SUM(AL18+AO17)</f>
        <v>24456.591084237953</v>
      </c>
      <c r="AP18" s="36">
        <f>SUM(AO18+AP17)</f>
        <v>29066.070928238518</v>
      </c>
      <c r="AQ18" s="36">
        <f>SUM(AP18+AQ17)</f>
        <v>33585.002128095577</v>
      </c>
      <c r="AR18" s="191">
        <f>AQ18</f>
        <v>33585.002128095577</v>
      </c>
      <c r="AS18" s="191"/>
      <c r="AT18" s="36">
        <f>SUM(AQ18+AT17)</f>
        <v>37859.594233875134</v>
      </c>
      <c r="AU18" s="36">
        <f>SUM(AT18+AU17)</f>
        <v>41993.03076693281</v>
      </c>
      <c r="AV18" s="36">
        <f>SUM(AU18+AV17)</f>
        <v>45989.972966333618</v>
      </c>
      <c r="AW18" s="191">
        <f>AV18</f>
        <v>45989.972966333618</v>
      </c>
      <c r="AX18" s="191"/>
      <c r="AY18" s="36">
        <f>SUM(AV18+AY17)</f>
        <v>51165.561819772534</v>
      </c>
      <c r="AZ18" s="36">
        <f>SUM(AY18+AZ17)</f>
        <v>56196.093750452208</v>
      </c>
      <c r="BA18" s="36">
        <f>SUM(AZ18+BA17)</f>
        <v>61085.634288196627</v>
      </c>
      <c r="BB18" s="191">
        <f>BA18</f>
        <v>61085.634288196627</v>
      </c>
      <c r="BC18" s="191"/>
      <c r="BD18" s="36">
        <f>SUM(BA18+BD17)</f>
        <v>67008.529069057782</v>
      </c>
      <c r="BE18" s="36">
        <f>SUM(BD18+BE17)</f>
        <v>72818.691666020022</v>
      </c>
      <c r="BF18" s="36">
        <f>SUM(BE18+BF17)</f>
        <v>78518.267743620163</v>
      </c>
      <c r="BG18" s="191">
        <f>BF18</f>
        <v>78518.267743620163</v>
      </c>
      <c r="BH18" s="191"/>
      <c r="BI18" s="36">
        <f>SUM(BF18+BI17)</f>
        <v>87195.312406648212</v>
      </c>
      <c r="BJ18" s="36">
        <f>SUM(BI18+BJ17)</f>
        <v>95785.245969787953</v>
      </c>
      <c r="BK18" s="36">
        <f>SUM(BJ18+BK17)</f>
        <v>104288.94296394459</v>
      </c>
      <c r="BL18" s="191">
        <f>BK18</f>
        <v>104288.94296394459</v>
      </c>
      <c r="BM18" s="191"/>
      <c r="BN18" s="36">
        <f>SUM(BL18+BN17)</f>
        <v>116898.71445948293</v>
      </c>
      <c r="BO18" s="36">
        <f>SUM(BN18+BO17)</f>
        <v>129495.2778313439</v>
      </c>
      <c r="BP18" s="36">
        <f>SUM(BO18+BP17)</f>
        <v>142078.64691439606</v>
      </c>
      <c r="BQ18" s="191">
        <f>BP18</f>
        <v>142078.64691439606</v>
      </c>
      <c r="BR18" s="191"/>
      <c r="BS18" s="36">
        <f>SUM(BP18+BS17)</f>
        <v>160637.64786283753</v>
      </c>
      <c r="BT18" s="36">
        <f>SUM(BS18+BT17)</f>
        <v>179344.03971539199</v>
      </c>
      <c r="BU18" s="36">
        <f>SUM(BT18+BU17)</f>
        <v>198198.99301344121</v>
      </c>
      <c r="BV18" s="191">
        <f>BU18</f>
        <v>198198.99301344121</v>
      </c>
      <c r="BW18" s="191"/>
      <c r="BX18" s="36">
        <f>SUM(BU18+BX17)</f>
        <v>226113.26680548745</v>
      </c>
      <c r="BY18" s="36">
        <f>SUM(BX18+BY17)</f>
        <v>254500.06385994941</v>
      </c>
      <c r="BZ18" s="36">
        <f>SUM(BY18+BZ17)</f>
        <v>283367.38288871152</v>
      </c>
      <c r="CA18" s="191">
        <f>BZ18</f>
        <v>283367.38288871152</v>
      </c>
      <c r="CB18" s="191"/>
      <c r="CC18" s="36">
        <f>SUM(BZ18+CC17)</f>
        <v>326287.89896091918</v>
      </c>
      <c r="CD18" s="36">
        <f>SUM(CC18+CD17)</f>
        <v>370320.45652322454</v>
      </c>
      <c r="CE18" s="36">
        <f>SUM(CD18+CE17)</f>
        <v>415493.86781715835</v>
      </c>
      <c r="CF18" s="191">
        <f>CE18</f>
        <v>415493.86781715835</v>
      </c>
      <c r="CG18" s="198"/>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5"/>
      <c r="B19" s="160"/>
      <c r="C19" s="323"/>
      <c r="D19" s="40"/>
      <c r="E19" s="42"/>
      <c r="F19" s="64"/>
      <c r="G19" s="31"/>
      <c r="H19" s="31"/>
      <c r="I19" s="31"/>
      <c r="J19" s="30"/>
      <c r="K19" s="31"/>
      <c r="L19" s="31"/>
      <c r="M19" s="31"/>
      <c r="N19" s="31"/>
      <c r="O19" s="30"/>
      <c r="P19" s="31"/>
      <c r="Q19" s="31"/>
      <c r="R19" s="31"/>
      <c r="S19" s="31"/>
      <c r="T19" s="108"/>
      <c r="U19" s="160"/>
      <c r="V19" s="31"/>
      <c r="W19" s="65"/>
      <c r="X19" s="169"/>
      <c r="Y19" s="64"/>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56" t="s">
        <v>190</v>
      </c>
      <c r="B20" s="292"/>
      <c r="C20" s="324"/>
      <c r="D20" s="302"/>
      <c r="E20" s="303"/>
      <c r="F20" s="100"/>
      <c r="G20" s="76"/>
      <c r="H20" s="76"/>
      <c r="I20" s="76"/>
      <c r="J20" s="275"/>
      <c r="K20" s="76"/>
      <c r="L20" s="76"/>
      <c r="M20" s="76"/>
      <c r="N20" s="76"/>
      <c r="O20" s="275"/>
      <c r="P20" s="76"/>
      <c r="Q20" s="76"/>
      <c r="R20" s="76"/>
      <c r="S20" s="76"/>
      <c r="T20" s="273"/>
      <c r="U20" s="274"/>
      <c r="V20" s="275"/>
      <c r="W20" s="276"/>
      <c r="X20" s="176"/>
      <c r="Y20" s="504"/>
      <c r="Z20" s="71"/>
      <c r="AA20" s="71"/>
      <c r="AB20" s="71"/>
      <c r="AC20" s="285"/>
      <c r="AD20" s="72"/>
      <c r="AE20" s="71"/>
      <c r="AF20" s="71"/>
      <c r="AG20" s="71"/>
      <c r="AH20" s="285"/>
      <c r="AI20" s="72"/>
      <c r="AJ20" s="71"/>
      <c r="AK20" s="71"/>
      <c r="AL20" s="71"/>
      <c r="AM20" s="285"/>
      <c r="AN20" s="72"/>
      <c r="AO20" s="71"/>
      <c r="AP20" s="71"/>
      <c r="AQ20" s="71"/>
      <c r="AR20" s="285"/>
      <c r="AS20" s="72"/>
      <c r="AT20" s="71"/>
      <c r="AU20" s="71"/>
      <c r="AV20" s="71"/>
      <c r="AW20" s="285"/>
      <c r="AX20" s="72"/>
      <c r="AY20" s="71"/>
      <c r="AZ20" s="71"/>
      <c r="BA20" s="71"/>
      <c r="BB20" s="285"/>
      <c r="BC20" s="72"/>
      <c r="BD20" s="71"/>
      <c r="BE20" s="71"/>
      <c r="BF20" s="71"/>
      <c r="BG20" s="285"/>
      <c r="BH20" s="72"/>
      <c r="BI20" s="71"/>
      <c r="BJ20" s="71"/>
      <c r="BK20" s="71"/>
      <c r="BL20" s="285"/>
      <c r="BM20" s="72"/>
      <c r="BN20" s="71"/>
      <c r="BO20" s="71"/>
      <c r="BP20" s="71"/>
      <c r="BQ20" s="285"/>
      <c r="BR20" s="72"/>
      <c r="BS20" s="71"/>
      <c r="BT20" s="71"/>
      <c r="BU20" s="71"/>
      <c r="BV20" s="285"/>
      <c r="BW20" s="72"/>
      <c r="BX20" s="71"/>
      <c r="BY20" s="71"/>
      <c r="BZ20" s="71"/>
      <c r="CA20" s="285"/>
      <c r="CB20" s="72"/>
      <c r="CC20" s="71"/>
      <c r="CD20" s="71"/>
      <c r="CE20" s="71"/>
      <c r="CF20" s="285"/>
      <c r="CG20" s="89"/>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57" t="s">
        <v>191</v>
      </c>
      <c r="B21" s="278">
        <v>0.3</v>
      </c>
      <c r="C21" s="374">
        <v>0.06</v>
      </c>
      <c r="D21" s="121"/>
      <c r="E21" s="120"/>
      <c r="F21" s="129">
        <v>0</v>
      </c>
      <c r="G21" s="128">
        <v>0</v>
      </c>
      <c r="H21" s="33">
        <f>SUM(IF(ISBLANK(D21),B21,D21))</f>
        <v>0.3</v>
      </c>
      <c r="I21" s="33">
        <f>SUM(IF((1*(IF(ISBLANK(E21),C21,E21)))+IF(ISBLANK(D21),B21,D21) &lt; 0, 0, (1*(IF(ISBLANK(E21),C21,E21)))+IF(ISBLANK(D21),B21,D21)))</f>
        <v>0.36</v>
      </c>
      <c r="J21" s="282">
        <f>SUM(AC21+AH21+AM21+AR21)</f>
        <v>44733.324409048597</v>
      </c>
      <c r="K21" s="33">
        <f>SUM(IF((2*(IF(ISBLANK(E21),C21,E21)))+IF(ISBLANK(D21),B21,D21) &lt; 0, 0, (2*(IF(ISBLANK(E21),C21,E21)))+IF(ISBLANK(D21),B21,D21)))</f>
        <v>0.42</v>
      </c>
      <c r="L21" s="33">
        <f>SUM(IF((3*(IF(ISBLANK(E21),C21,E21)))+IF(ISBLANK(D21),B21,D21) &lt; 0, 0, (3*(IF(ISBLANK(E21),C21,E21)))+IF(ISBLANK(D21),B21,D21)))</f>
        <v>0.48</v>
      </c>
      <c r="M21" s="33">
        <f>SUM(IF((4*(IF(ISBLANK(E21),C21,E21)))+IF(ISBLANK(D21),B21,D21) &lt; 0, 0, (4*(IF(ISBLANK(E21),C21,E21)))+IF(ISBLANK(D21),B21,D21)))</f>
        <v>0.54</v>
      </c>
      <c r="N21" s="33">
        <f>SUM(IF((5*(IF(ISBLANK(E21),C21,E21)))+IF(ISBLANK(D21),B21,D21) &lt; 0, 0, (5*(IF(ISBLANK(E21),C21,E21)))+IF(ISBLANK(D21),B21,D21)))</f>
        <v>0.6</v>
      </c>
      <c r="O21" s="282">
        <f>SUM(AW21+BB21+BG21+BL21)</f>
        <v>423976.85486096708</v>
      </c>
      <c r="P21" s="33">
        <f>SUM(IF((6*(IF(ISBLANK(E21),C21,E21)))+IF(ISBLANK(D21),B21,D21) &lt; 0, 0, (6*(IF(ISBLANK(E21),C21,E21)))+IF(ISBLANK(D21),B21,D21)))</f>
        <v>0.65999999999999992</v>
      </c>
      <c r="Q21" s="33">
        <f>SUM(IF((7*(IF(ISBLANK(E21),C21,E21)))+IF(ISBLANK(D21),B21,D21) &lt; 0, 0, (7*(IF(ISBLANK(E21),C21,E21)))+IF(ISBLANK(D21),B21,D21)))</f>
        <v>0.72</v>
      </c>
      <c r="R21" s="33">
        <f>SUM(IF((8*(IF(ISBLANK(E21),C21,E21)))+IF(ISBLANK(D21),B21,D21) &lt; 0, 0, (8*(IF(ISBLANK(E21),C21,E21)))+IF(ISBLANK(D21),B21,D21)))</f>
        <v>0.78</v>
      </c>
      <c r="S21" s="33">
        <f>SUM(IF((9*(IF(ISBLANK(E21),C21,E21)))+IF(ISBLANK(D21),B21,D21) &lt; 0, 0, (9*(IF(ISBLANK(E21),C21,E21)))+IF(ISBLANK(D21),B21,D21)))</f>
        <v>0.84000000000000008</v>
      </c>
      <c r="T21" s="305">
        <f>SUM(BQ21+BV21+CA21+CF21)</f>
        <v>2173952.8560467795</v>
      </c>
      <c r="U21" s="278">
        <f>SUM(IF((11*(IF(ISBLANK(E21),C21,E21)))+IF(ISBLANK(D21),B21,D21) &lt; 0, 0, (11*(IF(ISBLANK(E21),C21,E21)))+IF(ISBLANK(D21),B21,D21)))*12</f>
        <v>11.52</v>
      </c>
      <c r="V21" s="279">
        <f>SUM(IF((13*(IF(ISBLANK(E21),C21,E21)))+IF(ISBLANK(D21),B21,D21) &lt; 0, 0, (13*(IF(ISBLANK(E21),C21,E21)))+IF(ISBLANK(D21),B21,D21)))*12</f>
        <v>12.96</v>
      </c>
      <c r="W21" s="280">
        <f>SUM(IF((15*(IF(ISBLANK(E21),C21,E21)))+IF(ISBLANK(D21),B21,D21) &lt; 0, 0, (15*(IF(ISBLANK(E21),C21,E21)))+IF(ISBLANK(D21),B21,D21)))*12</f>
        <v>14.399999999999999</v>
      </c>
      <c r="X21" s="177"/>
      <c r="Y21" s="505">
        <v>0</v>
      </c>
      <c r="Z21" s="73">
        <f>SUM(Z18*F21)</f>
        <v>0</v>
      </c>
      <c r="AA21" s="73">
        <f>SUM(AA18*F21)</f>
        <v>0</v>
      </c>
      <c r="AB21" s="73">
        <f>SUM(AB18*F21)</f>
        <v>0</v>
      </c>
      <c r="AC21" s="282">
        <f t="shared" ref="AC21:AC29" si="106">SUM(Z21:AB21)</f>
        <v>0</v>
      </c>
      <c r="AD21" s="74"/>
      <c r="AE21" s="73">
        <f>SUM(AE18*G21)</f>
        <v>0</v>
      </c>
      <c r="AF21" s="73">
        <f>SUM(AF18*G21)</f>
        <v>0</v>
      </c>
      <c r="AG21" s="73">
        <f>SUM(AG18*G21)</f>
        <v>0</v>
      </c>
      <c r="AH21" s="282">
        <f t="shared" ref="AH21:AH29" si="107">SUM(AE21:AG21)</f>
        <v>0</v>
      </c>
      <c r="AI21" s="74"/>
      <c r="AJ21" s="73">
        <f>SUM(AJ18*H21)</f>
        <v>2992.289293870017</v>
      </c>
      <c r="AK21" s="73">
        <f>SUM(AK18*H21)</f>
        <v>4455.851559649268</v>
      </c>
      <c r="AL21" s="73">
        <f>SUM(AL18*H21)</f>
        <v>5926.4244649233751</v>
      </c>
      <c r="AM21" s="282">
        <f t="shared" ref="AM21:AM29" si="108">SUM(AJ21:AL21)</f>
        <v>13374.565318442659</v>
      </c>
      <c r="AN21" s="74"/>
      <c r="AO21" s="73">
        <f>SUM(AO18*I21)</f>
        <v>8804.3727903256622</v>
      </c>
      <c r="AP21" s="73">
        <f>SUM(AP18*I21)</f>
        <v>10463.785534165867</v>
      </c>
      <c r="AQ21" s="73">
        <f>SUM(AQ18*I21)</f>
        <v>12090.600766114407</v>
      </c>
      <c r="AR21" s="282">
        <f t="shared" ref="AR21:AR29" si="109">SUM(AO21:AQ21)</f>
        <v>31358.759090605938</v>
      </c>
      <c r="AS21" s="74"/>
      <c r="AT21" s="73">
        <f>SUM(AT18*K21)</f>
        <v>15901.029578227555</v>
      </c>
      <c r="AU21" s="73">
        <f>SUM(AU18*K21)</f>
        <v>17637.07292211178</v>
      </c>
      <c r="AV21" s="73">
        <f>SUM(AV18*K21)</f>
        <v>19315.788645860121</v>
      </c>
      <c r="AW21" s="282">
        <f t="shared" ref="AW21:AW29" si="110">SUM(AT21:AV21)</f>
        <v>52853.891146199458</v>
      </c>
      <c r="AX21" s="74"/>
      <c r="AY21" s="73">
        <f>SUM(AY18*L21)</f>
        <v>24559.469673490814</v>
      </c>
      <c r="AZ21" s="73">
        <f>SUM(AZ18*L21)</f>
        <v>26974.12500021706</v>
      </c>
      <c r="BA21" s="73">
        <f>SUM(BA18*L21)</f>
        <v>29321.104458334379</v>
      </c>
      <c r="BB21" s="282">
        <f t="shared" ref="BB21:BB29" si="111">SUM(AY21:BA21)</f>
        <v>80854.699132042253</v>
      </c>
      <c r="BC21" s="74"/>
      <c r="BD21" s="73">
        <f>SUM(BD18*M21)</f>
        <v>36184.605697291205</v>
      </c>
      <c r="BE21" s="73">
        <f>SUM(BE18*M21)</f>
        <v>39322.093499650815</v>
      </c>
      <c r="BF21" s="73">
        <f>SUM(BF18*M21)</f>
        <v>42399.864581554888</v>
      </c>
      <c r="BG21" s="282">
        <f t="shared" ref="BG21:BG29" si="112">SUM(BD21:BF21)</f>
        <v>117906.5637784969</v>
      </c>
      <c r="BH21" s="74"/>
      <c r="BI21" s="73">
        <f>SUM(BI18*N21)</f>
        <v>52317.187443988929</v>
      </c>
      <c r="BJ21" s="73">
        <f>SUM(BJ18*N21)</f>
        <v>57471.14758187277</v>
      </c>
      <c r="BK21" s="73">
        <f>SUM(BK18*N21)</f>
        <v>62573.365778366751</v>
      </c>
      <c r="BL21" s="282">
        <f t="shared" ref="BL21:BL29" si="113">SUM(BI21:BK21)</f>
        <v>172361.70080422846</v>
      </c>
      <c r="BM21" s="74"/>
      <c r="BN21" s="73">
        <f>SUM(BN18*P21)</f>
        <v>77153.151543258718</v>
      </c>
      <c r="BO21" s="73">
        <f>SUM(BO18*P21)</f>
        <v>85466.883368686962</v>
      </c>
      <c r="BP21" s="73">
        <f>SUM(BP18*P21)</f>
        <v>93771.906963501388</v>
      </c>
      <c r="BQ21" s="282">
        <f t="shared" ref="BQ21:BQ29" si="114">SUM(BN21:BP21)</f>
        <v>256391.94187544708</v>
      </c>
      <c r="BR21" s="74"/>
      <c r="BS21" s="73">
        <f>SUM(BS18*Q21)</f>
        <v>115659.10646124302</v>
      </c>
      <c r="BT21" s="73">
        <f>SUM(BT18*Q21)</f>
        <v>129127.70859508222</v>
      </c>
      <c r="BU21" s="73">
        <f>SUM(BU18*Q21)</f>
        <v>142703.27496967767</v>
      </c>
      <c r="BV21" s="282">
        <f t="shared" ref="BV21:BV29" si="115">SUM(BS21:BU21)</f>
        <v>387490.0900260029</v>
      </c>
      <c r="BW21" s="74"/>
      <c r="BX21" s="73">
        <f>SUM(BX18*R21)</f>
        <v>176368.34810828022</v>
      </c>
      <c r="BY21" s="73">
        <f>SUM(BY18*R21)</f>
        <v>198510.04981076054</v>
      </c>
      <c r="BZ21" s="73">
        <f>SUM(BZ18*R21)</f>
        <v>221026.55865319498</v>
      </c>
      <c r="CA21" s="282">
        <f t="shared" ref="CA21:CA29" si="116">SUM(BX21:BZ21)</f>
        <v>595904.95657223579</v>
      </c>
      <c r="CB21" s="74"/>
      <c r="CC21" s="73">
        <f>SUM(CC18*S21)</f>
        <v>274081.83512717212</v>
      </c>
      <c r="CD21" s="73">
        <f>SUM(CD18*S21)</f>
        <v>311069.18347950862</v>
      </c>
      <c r="CE21" s="73">
        <f>SUM(CE18*S21)</f>
        <v>349014.84896641306</v>
      </c>
      <c r="CF21" s="282">
        <f t="shared" ref="CF21:CF29" si="117">SUM(CC21:CE21)</f>
        <v>934165.86757309374</v>
      </c>
      <c r="CG21" s="88"/>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57" t="s">
        <v>192</v>
      </c>
      <c r="B22" s="367">
        <v>0.18</v>
      </c>
      <c r="C22" s="304">
        <v>7.0000000000000007E-2</v>
      </c>
      <c r="D22" s="121"/>
      <c r="E22" s="120"/>
      <c r="F22" s="129">
        <v>0</v>
      </c>
      <c r="G22" s="128">
        <v>0</v>
      </c>
      <c r="H22" s="33">
        <f t="shared" ref="H22" si="118">SUM(IF(ISBLANK(D22),B22,D22))</f>
        <v>0.18</v>
      </c>
      <c r="I22" s="33">
        <f t="shared" ref="I22" si="119">SUM(IF((1*(IF(ISBLANK(E22),C22,E22)))+IF(ISBLANK(D22),B22,D22) &lt; 0, 0, (1*(IF(ISBLANK(E22),C22,E22)))+IF(ISBLANK(D22),B22,D22)))</f>
        <v>0.25</v>
      </c>
      <c r="J22" s="282">
        <f>SUM(AC22+AH22+AM22+AR22)</f>
        <v>21776.916035143011</v>
      </c>
      <c r="K22" s="33">
        <f t="shared" ref="K22" si="120">SUM(IF((2*(IF(ISBLANK(E22),C22,E22)))+IF(ISBLANK(D22),B22,D22) &lt; 0, 0, (2*(IF(ISBLANK(E22),C22,E22)))+IF(ISBLANK(D22),B22,D22)))</f>
        <v>0.32</v>
      </c>
      <c r="L22" s="33">
        <f t="shared" ref="L22" si="121">SUM(IF((3*(IF(ISBLANK(E22),C22,E22)))+IF(ISBLANK(D22),B22,D22) &lt; 0, 0, (3*(IF(ISBLANK(E22),C22,E22)))+IF(ISBLANK(D22),B22,D22)))</f>
        <v>0.39</v>
      </c>
      <c r="M22" s="33">
        <f t="shared" ref="M22" si="122">SUM(IF((4*(IF(ISBLANK(E22),C22,E22)))+IF(ISBLANK(D22),B22,D22) &lt; 0, 0, (4*(IF(ISBLANK(E22),C22,E22)))+IF(ISBLANK(D22),B22,D22)))</f>
        <v>0.46</v>
      </c>
      <c r="N22" s="33">
        <f t="shared" ref="N22" si="123">SUM(IF((5*(IF(ISBLANK(E22),C22,E22)))+IF(ISBLANK(D22),B22,D22) &lt; 0, 0, (5*(IF(ISBLANK(E22),C22,E22)))+IF(ISBLANK(D22),B22,D22)))</f>
        <v>0.53</v>
      </c>
      <c r="O22" s="282">
        <f t="shared" ref="O22:O29" si="124">SUM(AW22+BB22+BG22+BL22)</f>
        <v>358655.83480487252</v>
      </c>
      <c r="P22" s="33">
        <f t="shared" ref="P22" si="125">SUM(IF((6*(IF(ISBLANK(E22),C22,E22)))+IF(ISBLANK(D22),B22,D22) &lt; 0, 0, (6*(IF(ISBLANK(E22),C22,E22)))+IF(ISBLANK(D22),B22,D22)))</f>
        <v>0.60000000000000009</v>
      </c>
      <c r="Q22" s="33">
        <f t="shared" ref="Q22" si="126">SUM(IF((7*(IF(ISBLANK(E22),C22,E22)))+IF(ISBLANK(D22),B22,D22) &lt; 0, 0, (7*(IF(ISBLANK(E22),C22,E22)))+IF(ISBLANK(D22),B22,D22)))</f>
        <v>0.67</v>
      </c>
      <c r="R22" s="33">
        <f t="shared" ref="R22" si="127">SUM(IF((8*(IF(ISBLANK(E22),C22,E22)))+IF(ISBLANK(D22),B22,D22) &lt; 0, 0, (8*(IF(ISBLANK(E22),C22,E22)))+IF(ISBLANK(D22),B22,D22)))</f>
        <v>0.74</v>
      </c>
      <c r="S22" s="33">
        <f t="shared" ref="S22" si="128">SUM(IF((9*(IF(ISBLANK(E22),C22,E22)))+IF(ISBLANK(D22),B22,D22) &lt; 0, 0, (9*(IF(ISBLANK(E22),C22,E22)))+IF(ISBLANK(D22),B22,D22)))</f>
        <v>0.81</v>
      </c>
      <c r="T22" s="305">
        <f t="shared" ref="T22:T29" si="129">SUM(BQ22+BV22+CA22+CF22)</f>
        <v>2059813.1684236776</v>
      </c>
      <c r="U22" s="278">
        <f>SUM(IF((11*(IF(ISBLANK(E22),C22,E22)))+IF(ISBLANK(D22),B22,D22) &lt; 0, 0, (11*(IF(ISBLANK(E22),C22,E22)))+IF(ISBLANK(D22),B22,D22)))*12</f>
        <v>11.399999999999999</v>
      </c>
      <c r="V22" s="279">
        <f>SUM(IF((13*(IF(ISBLANK(E22),C22,E22)))+IF(ISBLANK(D22),B22,D22) &lt; 0, 0, (13*(IF(ISBLANK(E22),C22,E22)))+IF(ISBLANK(D22),B22,D22)))*12</f>
        <v>13.080000000000002</v>
      </c>
      <c r="W22" s="280">
        <f>SUM(IF((15*(IF(ISBLANK(E22),C22,E22)))+IF(ISBLANK(D22),B22,D22) &lt; 0, 0, (15*(IF(ISBLANK(E22),C22,E22)))+IF(ISBLANK(D22),B22,D22)))*12</f>
        <v>14.76</v>
      </c>
      <c r="X22" s="177"/>
      <c r="Y22" s="505">
        <v>0</v>
      </c>
      <c r="Z22" s="73">
        <f>SUM(Z18*F22)</f>
        <v>0</v>
      </c>
      <c r="AA22" s="73">
        <f>SUM(AA18*F22)</f>
        <v>0</v>
      </c>
      <c r="AB22" s="73">
        <f>SUM(AB18*F22)</f>
        <v>0</v>
      </c>
      <c r="AC22" s="282">
        <f t="shared" si="106"/>
        <v>0</v>
      </c>
      <c r="AD22" s="74"/>
      <c r="AE22" s="73">
        <f>SUM(AE18*G22)</f>
        <v>0</v>
      </c>
      <c r="AF22" s="73">
        <f>SUM(AF18*G22)</f>
        <v>0</v>
      </c>
      <c r="AG22" s="73">
        <f>SUM(AG18*G22)</f>
        <v>0</v>
      </c>
      <c r="AH22" s="282">
        <f t="shared" si="107"/>
        <v>0</v>
      </c>
      <c r="AI22" s="74"/>
      <c r="AJ22" s="73">
        <f t="shared" ref="AJ22:AJ28" si="130">SUM(AJ19*H22)</f>
        <v>0</v>
      </c>
      <c r="AK22" s="73">
        <f t="shared" ref="AK22:AK28" si="131">SUM(AK19*H22)</f>
        <v>0</v>
      </c>
      <c r="AL22" s="73">
        <f t="shared" ref="AL22:AL28" si="132">SUM(AL19*H22)</f>
        <v>0</v>
      </c>
      <c r="AM22" s="282">
        <f t="shared" si="108"/>
        <v>0</v>
      </c>
      <c r="AN22" s="74"/>
      <c r="AO22" s="73">
        <f>SUM(AO18*I22)</f>
        <v>6114.1477710594882</v>
      </c>
      <c r="AP22" s="73">
        <f>SUM(AP18*I22)</f>
        <v>7266.5177320596295</v>
      </c>
      <c r="AQ22" s="73">
        <f>SUM(AQ18*I22)</f>
        <v>8396.2505320238943</v>
      </c>
      <c r="AR22" s="282">
        <f t="shared" si="109"/>
        <v>21776.916035143011</v>
      </c>
      <c r="AS22" s="74"/>
      <c r="AT22" s="73">
        <f>SUM(AT18*K22)</f>
        <v>12115.070154840043</v>
      </c>
      <c r="AU22" s="73">
        <f>SUM(AU18*K22)</f>
        <v>13437.769845418499</v>
      </c>
      <c r="AV22" s="73">
        <f>SUM(AV18*K22)</f>
        <v>14716.791349226758</v>
      </c>
      <c r="AW22" s="282">
        <f t="shared" si="110"/>
        <v>40269.631349485295</v>
      </c>
      <c r="AX22" s="74"/>
      <c r="AY22" s="73">
        <f>SUM(AY18*L22)</f>
        <v>19954.56910971129</v>
      </c>
      <c r="AZ22" s="73">
        <f>SUM(AZ18*L22)</f>
        <v>21916.476562676362</v>
      </c>
      <c r="BA22" s="73">
        <f>SUM(BA18*L22)</f>
        <v>23823.397372396685</v>
      </c>
      <c r="BB22" s="282">
        <f t="shared" si="111"/>
        <v>65694.443044784333</v>
      </c>
      <c r="BC22" s="74"/>
      <c r="BD22" s="73">
        <f>SUM(BD18*M22)</f>
        <v>30823.923371766581</v>
      </c>
      <c r="BE22" s="73">
        <f>SUM(BE18*M22)</f>
        <v>33496.598166369215</v>
      </c>
      <c r="BF22" s="73">
        <f>SUM(BF18*M22)</f>
        <v>36118.403162065275</v>
      </c>
      <c r="BG22" s="282">
        <f t="shared" si="112"/>
        <v>100438.92470020108</v>
      </c>
      <c r="BH22" s="74"/>
      <c r="BI22" s="73">
        <f>SUM(BI18*N22)</f>
        <v>46213.515575523554</v>
      </c>
      <c r="BJ22" s="73">
        <f>SUM(BJ18*N22)</f>
        <v>50766.180363987616</v>
      </c>
      <c r="BK22" s="73">
        <f>SUM(BK18*N22)</f>
        <v>55273.139770890637</v>
      </c>
      <c r="BL22" s="282">
        <f t="shared" si="113"/>
        <v>152252.83571040182</v>
      </c>
      <c r="BM22" s="74"/>
      <c r="BN22" s="73">
        <f>SUM(BN18*P22)</f>
        <v>70139.228675689767</v>
      </c>
      <c r="BO22" s="73">
        <f>SUM(BO18*P22)</f>
        <v>77697.166698806352</v>
      </c>
      <c r="BP22" s="73">
        <f>SUM(BP18*P22)</f>
        <v>85247.188148637651</v>
      </c>
      <c r="BQ22" s="282">
        <f t="shared" si="114"/>
        <v>233083.58352313377</v>
      </c>
      <c r="BR22" s="74"/>
      <c r="BS22" s="73">
        <f>SUM(BS18*Q22)</f>
        <v>107627.22406810116</v>
      </c>
      <c r="BT22" s="73">
        <f>SUM(BT18*Q22)</f>
        <v>120160.50660931264</v>
      </c>
      <c r="BU22" s="73">
        <f>SUM(BU18*Q22)</f>
        <v>132793.32531900561</v>
      </c>
      <c r="BV22" s="282">
        <f t="shared" si="115"/>
        <v>360581.0559964194</v>
      </c>
      <c r="BW22" s="74"/>
      <c r="BX22" s="73">
        <f>SUM(BX18*R22)</f>
        <v>167323.81743606072</v>
      </c>
      <c r="BY22" s="73">
        <f>SUM(BY18*R22)</f>
        <v>188330.04725636257</v>
      </c>
      <c r="BZ22" s="73">
        <f>SUM(BZ18*R22)</f>
        <v>209691.86333764653</v>
      </c>
      <c r="CA22" s="282">
        <f t="shared" si="116"/>
        <v>565345.72803006973</v>
      </c>
      <c r="CB22" s="74"/>
      <c r="CC22" s="73">
        <f>SUM(CC18*S22)</f>
        <v>264293.19815834454</v>
      </c>
      <c r="CD22" s="73">
        <f>SUM(CD18*S22)</f>
        <v>299959.56978381192</v>
      </c>
      <c r="CE22" s="73">
        <f>SUM(CE18*S22)</f>
        <v>336550.03293189825</v>
      </c>
      <c r="CF22" s="282">
        <f t="shared" si="117"/>
        <v>900802.80087405466</v>
      </c>
      <c r="CG22" s="88"/>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57" t="s">
        <v>193</v>
      </c>
      <c r="B23" s="278">
        <v>0.02</v>
      </c>
      <c r="C23" s="304">
        <v>7.0000000000000007E-2</v>
      </c>
      <c r="D23" s="121"/>
      <c r="E23" s="120"/>
      <c r="F23" s="129">
        <v>0</v>
      </c>
      <c r="G23" s="128">
        <v>0</v>
      </c>
      <c r="H23" s="360">
        <v>0</v>
      </c>
      <c r="I23" s="360">
        <v>0</v>
      </c>
      <c r="J23" s="282">
        <f t="shared" ref="J23:J29" si="133">SUM(AC23+AH23+AM23+AR23)</f>
        <v>0</v>
      </c>
      <c r="K23" s="33">
        <f>SUM(IF((0*(IF(ISBLANK(E23),C23,E23)))+IF(ISBLANK(D23),B23,D23) &lt; 0, 0, (0*(IF(ISBLANK(E23),C23,E23)))+IF(ISBLANK(D23),B23,D23)))</f>
        <v>0.02</v>
      </c>
      <c r="L23" s="33">
        <f>SUM(IF((1*(IF(ISBLANK(E23),C23,E23)))+IF(ISBLANK(D23),B23,D23) &lt; 0, 0, (1*(IF(ISBLANK(E23),C23,E23)))+IF(ISBLANK(D23),B23,D23)))</f>
        <v>9.0000000000000011E-2</v>
      </c>
      <c r="M23" s="33">
        <f>SUM(IF((2*(IF(ISBLANK(E23),C23,E23)))+IF(ISBLANK(D23),B23,D23) &lt; 0, 0, (2*(IF(ISBLANK(E23),C23,E23)))+IF(ISBLANK(D23),B23,D23)))</f>
        <v>0.16</v>
      </c>
      <c r="N23" s="33">
        <f>SUM(IF((3*(IF(ISBLANK(E23),C23,E23)))+IF(ISBLANK(D23),B23,D23) &lt; 0, 0, (3*(IF(ISBLANK(E23),C23,E23)))+IF(ISBLANK(D23),B23,D23)))</f>
        <v>0.23</v>
      </c>
      <c r="O23" s="282">
        <f t="shared" si="124"/>
        <v>118684.37151148001</v>
      </c>
      <c r="P23" s="33">
        <f>SUM(IF((4*(IF(ISBLANK(E23),C23,E23)))+IF(ISBLANK(D23),B23,D23) &lt; 0, 0, (4*(IF(ISBLANK(E23),C23,E23)))+IF(ISBLANK(D23),B23,D23)))</f>
        <v>0.30000000000000004</v>
      </c>
      <c r="Q23" s="33">
        <f>SUM(IF((5*(IF(ISBLANK(E23),C23,E23)))+IF(ISBLANK(D23),B23,D23) &lt; 0, 0, (5*(IF(ISBLANK(E23),C23,E23)))+IF(ISBLANK(D23),B23,D23)))</f>
        <v>0.37000000000000005</v>
      </c>
      <c r="R23" s="33">
        <f>SUM(IF((6*(IF(ISBLANK(E23),C23,E23)))+IF(ISBLANK(D23),B23,D23) &lt; 0, 0, (6*(IF(ISBLANK(E23),C23,E23)))+IF(ISBLANK(D23),B23,D23)))</f>
        <v>0.44000000000000006</v>
      </c>
      <c r="S23" s="33">
        <f>SUM(IF((7*(IF(ISBLANK(E23),C23,E23)))+IF(ISBLANK(D23),B23,D23) &lt; 0, 0, (7*(IF(ISBLANK(E23),C23,E23)))+IF(ISBLANK(D23),B23,D23)))</f>
        <v>0.51</v>
      </c>
      <c r="T23" s="305">
        <f t="shared" si="129"/>
        <v>1218992.2914279746</v>
      </c>
      <c r="U23" s="278">
        <f>SUM(IF((9*(IF(ISBLANK(E23),C23,E23)))+IF(ISBLANK(D23),B23,D23) &lt; 0, 0, (9*(IF(ISBLANK(E23),C23,E23)))+IF(ISBLANK(D23),B23,D23)))*12</f>
        <v>7.8000000000000016</v>
      </c>
      <c r="V23" s="279">
        <f>SUM(IF((11*(IF(ISBLANK(E23),C23,E23)))+IF(ISBLANK(D23),B23,D23) &lt; 0, 0, (11*(IF(ISBLANK(E23),C23,E23)))+IF(ISBLANK(D23),B23,D23)))*12</f>
        <v>9.48</v>
      </c>
      <c r="W23" s="280">
        <f>SUM(IF((13*(IF(ISBLANK(E23),C23,E23)))+IF(ISBLANK(D23),B23,D23) &lt; 0, 0, (13*(IF(ISBLANK(E23),C23,E23)))+IF(ISBLANK(D23),B23,D23)))*12</f>
        <v>11.160000000000002</v>
      </c>
      <c r="X23" s="177"/>
      <c r="Y23" s="505">
        <v>0</v>
      </c>
      <c r="Z23" s="73">
        <f>SUM(Z18*F23)</f>
        <v>0</v>
      </c>
      <c r="AA23" s="73">
        <f>SUM(AA18*F23)</f>
        <v>0</v>
      </c>
      <c r="AB23" s="73">
        <f>SUM(AB18*F23)</f>
        <v>0</v>
      </c>
      <c r="AC23" s="282">
        <f t="shared" si="106"/>
        <v>0</v>
      </c>
      <c r="AD23" s="74"/>
      <c r="AE23" s="73">
        <f>SUM(AE18*G23)</f>
        <v>0</v>
      </c>
      <c r="AF23" s="73">
        <f>SUM(AF18*G23)</f>
        <v>0</v>
      </c>
      <c r="AG23" s="73">
        <f>SUM(AG18*G23)</f>
        <v>0</v>
      </c>
      <c r="AH23" s="282">
        <f t="shared" si="107"/>
        <v>0</v>
      </c>
      <c r="AI23" s="74"/>
      <c r="AJ23" s="73">
        <f t="shared" si="130"/>
        <v>0</v>
      </c>
      <c r="AK23" s="73">
        <f t="shared" si="131"/>
        <v>0</v>
      </c>
      <c r="AL23" s="73">
        <f t="shared" si="132"/>
        <v>0</v>
      </c>
      <c r="AM23" s="282">
        <f t="shared" si="108"/>
        <v>0</v>
      </c>
      <c r="AN23" s="74"/>
      <c r="AO23" s="73">
        <f>SUM(AO18*I23)</f>
        <v>0</v>
      </c>
      <c r="AP23" s="73">
        <f>SUM(AP18*I23)</f>
        <v>0</v>
      </c>
      <c r="AQ23" s="73">
        <f>SUM(AQ18*I23)</f>
        <v>0</v>
      </c>
      <c r="AR23" s="282">
        <f t="shared" si="109"/>
        <v>0</v>
      </c>
      <c r="AS23" s="74"/>
      <c r="AT23" s="73">
        <f>SUM(AT18*K23)</f>
        <v>757.19188467750269</v>
      </c>
      <c r="AU23" s="73">
        <f>SUM(AU18*K23)</f>
        <v>839.8606153386562</v>
      </c>
      <c r="AV23" s="73">
        <f>SUM(AV18*K23)</f>
        <v>919.79945932667238</v>
      </c>
      <c r="AW23" s="282">
        <f t="shared" si="110"/>
        <v>2516.8519593428309</v>
      </c>
      <c r="AX23" s="74"/>
      <c r="AY23" s="73">
        <f>SUM(AY18*L23)</f>
        <v>4604.900563779529</v>
      </c>
      <c r="AZ23" s="73">
        <f>SUM(AZ18*L23)</f>
        <v>5057.648437540699</v>
      </c>
      <c r="BA23" s="73">
        <f>SUM(BA18*L23)</f>
        <v>5497.7070859376972</v>
      </c>
      <c r="BB23" s="282">
        <f t="shared" si="111"/>
        <v>15160.256087257927</v>
      </c>
      <c r="BC23" s="74"/>
      <c r="BD23" s="73">
        <f>SUM(BD18*M23)</f>
        <v>10721.364651049245</v>
      </c>
      <c r="BE23" s="73">
        <f>SUM(BE18*M23)</f>
        <v>11650.990666563204</v>
      </c>
      <c r="BF23" s="73">
        <f>SUM(BF18*M23)</f>
        <v>12562.922838979226</v>
      </c>
      <c r="BG23" s="282">
        <f t="shared" si="112"/>
        <v>34935.278156591674</v>
      </c>
      <c r="BH23" s="74"/>
      <c r="BI23" s="73">
        <f>SUM(BI18*N23)</f>
        <v>20054.921853529089</v>
      </c>
      <c r="BJ23" s="73">
        <f>SUM(BJ18*N23)</f>
        <v>22030.606573051231</v>
      </c>
      <c r="BK23" s="73">
        <f>SUM(BK18*N23)</f>
        <v>23986.456881707258</v>
      </c>
      <c r="BL23" s="282">
        <f t="shared" si="113"/>
        <v>66071.985308287578</v>
      </c>
      <c r="BM23" s="74"/>
      <c r="BN23" s="73">
        <f>SUM(BN18*P23)</f>
        <v>35069.614337844883</v>
      </c>
      <c r="BO23" s="73">
        <f>SUM(BO18*P23)</f>
        <v>38848.583349403176</v>
      </c>
      <c r="BP23" s="73">
        <f>SUM(BP18*P23)</f>
        <v>42623.594074318826</v>
      </c>
      <c r="BQ23" s="282">
        <f t="shared" si="114"/>
        <v>116541.79176156688</v>
      </c>
      <c r="BR23" s="74"/>
      <c r="BS23" s="73">
        <f>SUM(BS18*Q23)</f>
        <v>59435.929709249896</v>
      </c>
      <c r="BT23" s="73">
        <f>SUM(BT18*Q23)</f>
        <v>66357.29469469504</v>
      </c>
      <c r="BU23" s="73">
        <f>SUM(BU18*Q23)</f>
        <v>73333.627414973264</v>
      </c>
      <c r="BV23" s="282">
        <f t="shared" si="115"/>
        <v>199126.85181891819</v>
      </c>
      <c r="BW23" s="74"/>
      <c r="BX23" s="73">
        <f>SUM(BX18*R23)</f>
        <v>99489.837394414499</v>
      </c>
      <c r="BY23" s="73">
        <f>SUM(BY18*R23)</f>
        <v>111980.02809837776</v>
      </c>
      <c r="BZ23" s="73">
        <f>SUM(BZ18*R23)</f>
        <v>124681.64847103308</v>
      </c>
      <c r="CA23" s="282">
        <f t="shared" si="116"/>
        <v>336151.51396382536</v>
      </c>
      <c r="CB23" s="74"/>
      <c r="CC23" s="73">
        <f>SUM(CC18*S23)</f>
        <v>166406.82847006878</v>
      </c>
      <c r="CD23" s="73">
        <f>SUM(CD18*S23)</f>
        <v>188863.43282684451</v>
      </c>
      <c r="CE23" s="73">
        <f>SUM(CE18*S23)</f>
        <v>211901.87258675075</v>
      </c>
      <c r="CF23" s="282">
        <f t="shared" si="117"/>
        <v>567172.13388366404</v>
      </c>
      <c r="CG23" s="88"/>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57" t="s">
        <v>194</v>
      </c>
      <c r="B24" s="278">
        <v>0.01</v>
      </c>
      <c r="C24" s="374">
        <v>0.05</v>
      </c>
      <c r="D24" s="121"/>
      <c r="E24" s="120"/>
      <c r="F24" s="129">
        <v>0</v>
      </c>
      <c r="G24" s="128">
        <v>0</v>
      </c>
      <c r="H24" s="360">
        <v>0</v>
      </c>
      <c r="I24" s="360">
        <v>0</v>
      </c>
      <c r="J24" s="282">
        <f t="shared" si="133"/>
        <v>0</v>
      </c>
      <c r="K24" s="33">
        <f>SUM(IF((0*(IF(ISBLANK(E24),C24,E24)))+IF(ISBLANK(D24),B24,D24) &lt; 0, 0, (0*(IF(ISBLANK(E24),C24,E24)))+IF(ISBLANK(D24),B24,D24)))</f>
        <v>0.01</v>
      </c>
      <c r="L24" s="33">
        <f>SUM(IF((1*(IF(ISBLANK(E24),C24,E24)))+IF(ISBLANK(D24),B24,D24) &lt; 0, 0, (1*(IF(ISBLANK(E24),C24,E24)))+IF(ISBLANK(D24),B24,D24)))</f>
        <v>6.0000000000000005E-2</v>
      </c>
      <c r="M24" s="33">
        <f>SUM(IF((2*(IF(ISBLANK(E24),C24,E24)))+IF(ISBLANK(D24),B24,D24) &lt; 0, 0, (2*(IF(ISBLANK(E24),C24,E24)))+IF(ISBLANK(D24),B24,D24)))</f>
        <v>0.11</v>
      </c>
      <c r="N24" s="33">
        <f>SUM(IF((3*(IF(ISBLANK(E24),C24,E24)))+IF(ISBLANK(D24),B24,D24) &lt; 0, 0, (3*(IF(ISBLANK(E24),C24,E24)))+IF(ISBLANK(D24),B24,D24)))</f>
        <v>0.16000000000000003</v>
      </c>
      <c r="O24" s="282">
        <f t="shared" si="124"/>
        <v>81346.387318294408</v>
      </c>
      <c r="P24" s="33">
        <f>SUM(IF((4*(IF(ISBLANK(E24),C24,E24)))+IF(ISBLANK(D24),B24,D24) &lt; 0, 0, (4*(IF(ISBLANK(E24),C24,E24)))+IF(ISBLANK(D24),B24,D24)))</f>
        <v>0.21000000000000002</v>
      </c>
      <c r="Q24" s="33">
        <f>SUM(IF((5*(IF(ISBLANK(E24),C24,E24)))+IF(ISBLANK(D24),B24,D24) &lt; 0, 0, (5*(IF(ISBLANK(E24),C24,E24)))+IF(ISBLANK(D24),B24,D24)))</f>
        <v>0.26</v>
      </c>
      <c r="R24" s="33">
        <f>SUM(IF((6*(IF(ISBLANK(E24),C24,E24)))+IF(ISBLANK(D24),B24,D24) &lt; 0, 0, (6*(IF(ISBLANK(E24),C24,E24)))+IF(ISBLANK(D24),B24,D24)))</f>
        <v>0.31000000000000005</v>
      </c>
      <c r="S24" s="33">
        <f>SUM(IF((7*(IF(ISBLANK(E24),C24,E24)))+IF(ISBLANK(D24),B24,D24) &lt; 0, 0, (7*(IF(ISBLANK(E24),C24,E24)))+IF(ISBLANK(D24),B24,D24)))</f>
        <v>0.36000000000000004</v>
      </c>
      <c r="T24" s="305">
        <f t="shared" si="129"/>
        <v>858697.05277718604</v>
      </c>
      <c r="U24" s="278">
        <f>SUM(IF((9*(IF(ISBLANK(E24),C24,E24)))+IF(ISBLANK(D24),B24,D24) &lt; 0, 0, (9*(IF(ISBLANK(E24),C24,E24)))+IF(ISBLANK(D24),B24,D24)))*12</f>
        <v>5.5200000000000005</v>
      </c>
      <c r="V24" s="279">
        <f>SUM(IF((11*(IF(ISBLANK(E24),C24,E24)))+IF(ISBLANK(D24),B24,D24) &lt; 0, 0, (11*(IF(ISBLANK(E24),C24,E24)))+IF(ISBLANK(D24),B24,D24)))*12</f>
        <v>6.7200000000000006</v>
      </c>
      <c r="W24" s="280">
        <f>SUM(IF((13*(IF(ISBLANK(E24),C24,E24)))+IF(ISBLANK(D24),B24,D24) &lt; 0, 0, (13*(IF(ISBLANK(E24),C24,E24)))+IF(ISBLANK(D24),B24,D24)))*12</f>
        <v>7.92</v>
      </c>
      <c r="X24" s="177"/>
      <c r="Y24" s="505">
        <v>0</v>
      </c>
      <c r="Z24" s="73">
        <f>SUM(Z18*F24)</f>
        <v>0</v>
      </c>
      <c r="AA24" s="73">
        <f>SUM(AA18*F24)</f>
        <v>0</v>
      </c>
      <c r="AB24" s="73">
        <f>SUM(AB18*F24)</f>
        <v>0</v>
      </c>
      <c r="AC24" s="282">
        <f t="shared" si="106"/>
        <v>0</v>
      </c>
      <c r="AD24" s="74"/>
      <c r="AE24" s="73">
        <f>SUM(AE18*G24)</f>
        <v>0</v>
      </c>
      <c r="AF24" s="73">
        <f>SUM(AF18*G24)</f>
        <v>0</v>
      </c>
      <c r="AG24" s="73">
        <f>SUM(AG18*G24)</f>
        <v>0</v>
      </c>
      <c r="AH24" s="282">
        <f t="shared" si="107"/>
        <v>0</v>
      </c>
      <c r="AI24" s="74"/>
      <c r="AJ24" s="73">
        <f t="shared" si="130"/>
        <v>0</v>
      </c>
      <c r="AK24" s="73">
        <f t="shared" si="131"/>
        <v>0</v>
      </c>
      <c r="AL24" s="73">
        <f t="shared" si="132"/>
        <v>0</v>
      </c>
      <c r="AM24" s="282">
        <f t="shared" si="108"/>
        <v>0</v>
      </c>
      <c r="AN24" s="74"/>
      <c r="AO24" s="73">
        <f>SUM(AO18*I24)</f>
        <v>0</v>
      </c>
      <c r="AP24" s="73">
        <f>SUM(AP18*I24)</f>
        <v>0</v>
      </c>
      <c r="AQ24" s="73">
        <f>SUM(AQ18*I24)</f>
        <v>0</v>
      </c>
      <c r="AR24" s="282">
        <f t="shared" si="109"/>
        <v>0</v>
      </c>
      <c r="AS24" s="74"/>
      <c r="AT24" s="73">
        <f>SUM(AT18*K24)</f>
        <v>378.59594233875134</v>
      </c>
      <c r="AU24" s="73">
        <f>SUM(AU18*K24)</f>
        <v>419.9303076693281</v>
      </c>
      <c r="AV24" s="73">
        <f>SUM(AV18*K24)</f>
        <v>459.89972966333619</v>
      </c>
      <c r="AW24" s="282">
        <f t="shared" si="110"/>
        <v>1258.4259796714155</v>
      </c>
      <c r="AX24" s="74"/>
      <c r="AY24" s="73">
        <f>SUM(AY18*L24)</f>
        <v>3069.9337091863522</v>
      </c>
      <c r="AZ24" s="73">
        <f>SUM(AZ18*L24)</f>
        <v>3371.765625027133</v>
      </c>
      <c r="BA24" s="73">
        <f>SUM(BA18*L24)</f>
        <v>3665.1380572917978</v>
      </c>
      <c r="BB24" s="282">
        <f t="shared" si="111"/>
        <v>10106.837391505283</v>
      </c>
      <c r="BC24" s="74"/>
      <c r="BD24" s="73">
        <f>SUM(BD18*M24)</f>
        <v>7370.9381975963561</v>
      </c>
      <c r="BE24" s="73">
        <f>SUM(BE18*M24)</f>
        <v>8010.0560832622023</v>
      </c>
      <c r="BF24" s="73">
        <f>SUM(BF18*M24)</f>
        <v>8637.0094517982179</v>
      </c>
      <c r="BG24" s="282">
        <f t="shared" si="112"/>
        <v>24018.003732656776</v>
      </c>
      <c r="BH24" s="74"/>
      <c r="BI24" s="73">
        <f>SUM(BI18*N24)</f>
        <v>13951.249985063716</v>
      </c>
      <c r="BJ24" s="73">
        <f>SUM(BJ18*N24)</f>
        <v>15325.639355166075</v>
      </c>
      <c r="BK24" s="73">
        <f>SUM(BK18*N24)</f>
        <v>16686.230874231136</v>
      </c>
      <c r="BL24" s="282">
        <f t="shared" si="113"/>
        <v>45963.120214460927</v>
      </c>
      <c r="BM24" s="74"/>
      <c r="BN24" s="73">
        <f>SUM(BN18*P24)</f>
        <v>24548.730036491419</v>
      </c>
      <c r="BO24" s="73">
        <f>SUM(BO18*P24)</f>
        <v>27194.008344582224</v>
      </c>
      <c r="BP24" s="73">
        <f>SUM(BP18*P24)</f>
        <v>29836.515852023174</v>
      </c>
      <c r="BQ24" s="282">
        <f t="shared" si="114"/>
        <v>81579.254233096814</v>
      </c>
      <c r="BR24" s="74"/>
      <c r="BS24" s="73">
        <f>SUM(BS18*Q24)</f>
        <v>41765.788444337762</v>
      </c>
      <c r="BT24" s="73">
        <f>SUM(BT18*Q24)</f>
        <v>46629.450326001919</v>
      </c>
      <c r="BU24" s="73">
        <f>SUM(BU18*Q24)</f>
        <v>51531.738183494715</v>
      </c>
      <c r="BV24" s="282">
        <f t="shared" si="115"/>
        <v>139926.97695383441</v>
      </c>
      <c r="BW24" s="74"/>
      <c r="BX24" s="73">
        <f>SUM(BX18*R24)</f>
        <v>70095.112709701119</v>
      </c>
      <c r="BY24" s="73">
        <f>SUM(BY18*R24)</f>
        <v>78895.019796584325</v>
      </c>
      <c r="BZ24" s="73">
        <f>SUM(BZ18*R24)</f>
        <v>87843.888695500587</v>
      </c>
      <c r="CA24" s="282">
        <f t="shared" si="116"/>
        <v>236834.02120178603</v>
      </c>
      <c r="CB24" s="74"/>
      <c r="CC24" s="73">
        <f>SUM(CC18*S24)</f>
        <v>117463.64362593091</v>
      </c>
      <c r="CD24" s="73">
        <f>SUM(CD18*S24)</f>
        <v>133315.36434836086</v>
      </c>
      <c r="CE24" s="73">
        <f>SUM(CE18*S24)</f>
        <v>149577.79241417703</v>
      </c>
      <c r="CF24" s="282">
        <f t="shared" si="117"/>
        <v>400356.80038846878</v>
      </c>
      <c r="CG24" s="88"/>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57" t="s">
        <v>195</v>
      </c>
      <c r="B25" s="278">
        <v>0.01</v>
      </c>
      <c r="C25" s="304">
        <v>0.02</v>
      </c>
      <c r="D25" s="121"/>
      <c r="E25" s="120"/>
      <c r="F25" s="129">
        <v>0</v>
      </c>
      <c r="G25" s="128">
        <v>0</v>
      </c>
      <c r="H25" s="360">
        <v>0</v>
      </c>
      <c r="I25" s="360">
        <v>0</v>
      </c>
      <c r="J25" s="282">
        <f t="shared" si="133"/>
        <v>0</v>
      </c>
      <c r="K25" s="33">
        <f>SUM(IF((0*(IF(ISBLANK(E25),C25,E25)))+IF(ISBLANK(D25),B25,D25) &lt; 0, 0, (0*(IF(ISBLANK(E25),C25,E25)))+IF(ISBLANK(D25),B25,D25)))</f>
        <v>0.01</v>
      </c>
      <c r="L25" s="33">
        <f>SUM(IF((1*(IF(ISBLANK(E25),C25,E25)))+IF(ISBLANK(D25),B25,D25) &lt; 0, 0, (1*(IF(ISBLANK(E25),C25,E25)))+IF(ISBLANK(D25),B25,D25)))</f>
        <v>0.03</v>
      </c>
      <c r="M25" s="33">
        <f>SUM(IF((2*(IF(ISBLANK(E25),C25,E25)))+IF(ISBLANK(D25),B25,D25) &lt; 0, 0, (2*(IF(ISBLANK(E25),C25,E25)))+IF(ISBLANK(D25),B25,D25)))</f>
        <v>0.05</v>
      </c>
      <c r="N25" s="33">
        <f>SUM(IF((3*(IF(ISBLANK(E25),C25,E25)))+IF(ISBLANK(D25),B25,D25) &lt; 0, 0, (3*(IF(ISBLANK(E25),C25,E25)))+IF(ISBLANK(D25),B25,D25)))</f>
        <v>6.9999999999999993E-2</v>
      </c>
      <c r="O25" s="282">
        <f t="shared" si="124"/>
        <v>37337.984193185606</v>
      </c>
      <c r="P25" s="33">
        <f>SUM(IF((4*(IF(ISBLANK(E25),C25,E25)))+IF(ISBLANK(D25),B25,D25) &lt; 0, 0, (4*(IF(ISBLANK(E25),C25,E25)))+IF(ISBLANK(D25),B25,D25)))</f>
        <v>0.09</v>
      </c>
      <c r="Q25" s="33">
        <f>SUM(IF((5*(IF(ISBLANK(E25),C25,E25)))+IF(ISBLANK(D25),B25,D25) &lt; 0, 0, (5*(IF(ISBLANK(E25),C25,E25)))+IF(ISBLANK(D25),B25,D25)))</f>
        <v>0.11</v>
      </c>
      <c r="R25" s="33">
        <f>SUM(IF((6*(IF(ISBLANK(E25),C25,E25)))+IF(ISBLANK(D25),B25,D25) &lt; 0, 0, (6*(IF(ISBLANK(E25),C25,E25)))+IF(ISBLANK(D25),B25,D25)))</f>
        <v>0.13</v>
      </c>
      <c r="S25" s="33">
        <f>SUM(IF((7*(IF(ISBLANK(E25),C25,E25)))+IF(ISBLANK(D25),B25,D25) &lt; 0, 0, (7*(IF(ISBLANK(E25),C25,E25)))+IF(ISBLANK(D25),B25,D25)))</f>
        <v>0.15000000000000002</v>
      </c>
      <c r="T25" s="305">
        <f t="shared" si="129"/>
        <v>360295.23865078844</v>
      </c>
      <c r="U25" s="278">
        <f>SUM(IF((9*(IF(ISBLANK(E25),C25,E25)))+IF(ISBLANK(D25),B25,D25) &lt; 0, 0, (9*(IF(ISBLANK(E25),C25,E25)))+IF(ISBLANK(D25),B25,D25)))*12</f>
        <v>2.2800000000000002</v>
      </c>
      <c r="V25" s="279">
        <f>SUM(IF((11*(IF(ISBLANK(E25),C25,E25)))+IF(ISBLANK(D25),B25,D25) &lt; 0, 0, (11*(IF(ISBLANK(E25),C25,E25)))+IF(ISBLANK(D25),B25,D25)))*12</f>
        <v>2.7600000000000002</v>
      </c>
      <c r="W25" s="280">
        <f>SUM(IF((13*(IF(ISBLANK(E25),C25,E25)))+IF(ISBLANK(D25),B25,D25) &lt; 0, 0, (13*(IF(ISBLANK(E25),C25,E25)))+IF(ISBLANK(D25),B25,D25)))*12</f>
        <v>3.24</v>
      </c>
      <c r="X25" s="177"/>
      <c r="Y25" s="505">
        <v>0</v>
      </c>
      <c r="Z25" s="73">
        <f>SUM(Z18*F25)</f>
        <v>0</v>
      </c>
      <c r="AA25" s="73">
        <f>SUM(AA18*F25)</f>
        <v>0</v>
      </c>
      <c r="AB25" s="73">
        <f>SUM(AB18*F25)</f>
        <v>0</v>
      </c>
      <c r="AC25" s="282">
        <f t="shared" si="106"/>
        <v>0</v>
      </c>
      <c r="AD25" s="74"/>
      <c r="AE25" s="73">
        <f>SUM(AE18*G25)</f>
        <v>0</v>
      </c>
      <c r="AF25" s="73">
        <f>SUM(AF18*G25)</f>
        <v>0</v>
      </c>
      <c r="AG25" s="73">
        <f>SUM(AG18*G25)</f>
        <v>0</v>
      </c>
      <c r="AH25" s="282">
        <f t="shared" si="107"/>
        <v>0</v>
      </c>
      <c r="AI25" s="74"/>
      <c r="AJ25" s="73">
        <f t="shared" si="130"/>
        <v>0</v>
      </c>
      <c r="AK25" s="73">
        <f t="shared" si="131"/>
        <v>0</v>
      </c>
      <c r="AL25" s="73">
        <f t="shared" si="132"/>
        <v>0</v>
      </c>
      <c r="AM25" s="282">
        <f t="shared" si="108"/>
        <v>0</v>
      </c>
      <c r="AN25" s="74"/>
      <c r="AO25" s="73">
        <f>SUM(AO18*I25)</f>
        <v>0</v>
      </c>
      <c r="AP25" s="73">
        <f>SUM(AP18*I25)</f>
        <v>0</v>
      </c>
      <c r="AQ25" s="73">
        <f>SUM(AQ18*I25)</f>
        <v>0</v>
      </c>
      <c r="AR25" s="282">
        <f t="shared" si="109"/>
        <v>0</v>
      </c>
      <c r="AS25" s="74"/>
      <c r="AT25" s="73">
        <f>SUM(AT18*K25)</f>
        <v>378.59594233875134</v>
      </c>
      <c r="AU25" s="73">
        <f>SUM(AU18*K25)</f>
        <v>419.9303076693281</v>
      </c>
      <c r="AV25" s="73">
        <f>SUM(AV18*K25)</f>
        <v>459.89972966333619</v>
      </c>
      <c r="AW25" s="282">
        <f t="shared" si="110"/>
        <v>1258.4259796714155</v>
      </c>
      <c r="AX25" s="74"/>
      <c r="AY25" s="73">
        <f>SUM(AY18*L25)</f>
        <v>1534.9668545931759</v>
      </c>
      <c r="AZ25" s="73">
        <f>SUM(AZ18*L25)</f>
        <v>1685.8828125135663</v>
      </c>
      <c r="BA25" s="73">
        <f>SUM(BA18*L25)</f>
        <v>1832.5690286458987</v>
      </c>
      <c r="BB25" s="282">
        <f t="shared" si="111"/>
        <v>5053.4186957526408</v>
      </c>
      <c r="BC25" s="74"/>
      <c r="BD25" s="73">
        <f>SUM(BD18*M25)</f>
        <v>3350.4264534528893</v>
      </c>
      <c r="BE25" s="73">
        <f>SUM(BE18*M25)</f>
        <v>3640.9345833010011</v>
      </c>
      <c r="BF25" s="73">
        <f>SUM(BF18*M25)</f>
        <v>3925.9133871810081</v>
      </c>
      <c r="BG25" s="282">
        <f t="shared" si="112"/>
        <v>10917.274423934898</v>
      </c>
      <c r="BH25" s="74"/>
      <c r="BI25" s="73">
        <f>SUM(BI18*N25)</f>
        <v>6103.6718684653742</v>
      </c>
      <c r="BJ25" s="73">
        <f>SUM(BJ18*N25)</f>
        <v>6704.9672178851561</v>
      </c>
      <c r="BK25" s="73">
        <f>SUM(BK18*N25)</f>
        <v>7300.2260074761207</v>
      </c>
      <c r="BL25" s="282">
        <f t="shared" si="113"/>
        <v>20108.865093826651</v>
      </c>
      <c r="BM25" s="74"/>
      <c r="BN25" s="73">
        <f>SUM(BN18*P25)</f>
        <v>10520.884301353462</v>
      </c>
      <c r="BO25" s="73">
        <f>SUM(BO18*P25)</f>
        <v>11654.57500482095</v>
      </c>
      <c r="BP25" s="73">
        <f>SUM(BP18*P25)</f>
        <v>12787.078222295644</v>
      </c>
      <c r="BQ25" s="282">
        <f t="shared" si="114"/>
        <v>34962.537528470057</v>
      </c>
      <c r="BR25" s="74"/>
      <c r="BS25" s="73">
        <f>SUM(BS18*Q25)</f>
        <v>17670.14126491213</v>
      </c>
      <c r="BT25" s="73">
        <f>SUM(BT18*Q25)</f>
        <v>19727.84436869312</v>
      </c>
      <c r="BU25" s="73">
        <f>SUM(BU18*Q25)</f>
        <v>21801.889231478533</v>
      </c>
      <c r="BV25" s="282">
        <f t="shared" si="115"/>
        <v>59199.874865083781</v>
      </c>
      <c r="BW25" s="74"/>
      <c r="BX25" s="73">
        <f>SUM(BX18*R25)</f>
        <v>29394.724684713368</v>
      </c>
      <c r="BY25" s="73">
        <f>SUM(BY18*R25)</f>
        <v>33085.008301793423</v>
      </c>
      <c r="BZ25" s="73">
        <f>SUM(BZ18*R25)</f>
        <v>36837.759775532497</v>
      </c>
      <c r="CA25" s="282">
        <f t="shared" si="116"/>
        <v>99317.492762039285</v>
      </c>
      <c r="CB25" s="74"/>
      <c r="CC25" s="73">
        <f>SUM(CC18*S25)</f>
        <v>48943.184844137882</v>
      </c>
      <c r="CD25" s="73">
        <f>SUM(CD18*S25)</f>
        <v>55548.068478483692</v>
      </c>
      <c r="CE25" s="73">
        <f>SUM(CE18*S25)</f>
        <v>62324.080172573762</v>
      </c>
      <c r="CF25" s="282">
        <f t="shared" si="117"/>
        <v>166815.33349519534</v>
      </c>
      <c r="CG25" s="88"/>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57" t="s">
        <v>196</v>
      </c>
      <c r="B26" s="278">
        <v>0.01</v>
      </c>
      <c r="C26" s="374">
        <v>0.01</v>
      </c>
      <c r="D26" s="121"/>
      <c r="E26" s="120"/>
      <c r="F26" s="129">
        <v>0</v>
      </c>
      <c r="G26" s="128">
        <v>0</v>
      </c>
      <c r="H26" s="360">
        <v>0</v>
      </c>
      <c r="I26" s="360">
        <v>0</v>
      </c>
      <c r="J26" s="282">
        <f t="shared" si="133"/>
        <v>0</v>
      </c>
      <c r="K26" s="33">
        <f>SUM(IF((0*(IF(ISBLANK(E26),C26,E26)))+IF(ISBLANK(D26),B26,D26) &lt; 0, 0, (0*(IF(ISBLANK(E26),C26,E26)))+IF(ISBLANK(D26),B26,D26)))</f>
        <v>0.01</v>
      </c>
      <c r="L26" s="33">
        <f>SUM(IF((1*(IF(ISBLANK(E26),C26,E26)))+IF(ISBLANK(D26),B26,D26) &lt; 0, 0, (1*(IF(ISBLANK(E26),C26,E26)))+IF(ISBLANK(D26),B26,D26)))</f>
        <v>0.02</v>
      </c>
      <c r="M26" s="33">
        <f>SUM(IF((2*(IF(ISBLANK(E26),C26,E26)))+IF(ISBLANK(D26),B26,D26) &lt; 0, 0, (2*(IF(ISBLANK(E26),C26,E26)))+IF(ISBLANK(D26),B26,D26)))</f>
        <v>0.03</v>
      </c>
      <c r="N26" s="33">
        <f>SUM(IF((3*(IF(ISBLANK(E26),C26,E26)))+IF(ISBLANK(D26),B26,D26) &lt; 0, 0, (3*(IF(ISBLANK(E26),C26,E26)))+IF(ISBLANK(D26),B26,D26)))</f>
        <v>0.04</v>
      </c>
      <c r="O26" s="282">
        <f t="shared" si="124"/>
        <v>22668.516484816013</v>
      </c>
      <c r="P26" s="33">
        <f>SUM(IF((4*(IF(ISBLANK(E26),C26,E26)))+IF(ISBLANK(D26),B26,D26) &lt; 0, 0, (4*(IF(ISBLANK(E26),C26,E26)))+IF(ISBLANK(D26),B26,D26)))</f>
        <v>0.05</v>
      </c>
      <c r="Q26" s="33">
        <f>SUM(IF((5*(IF(ISBLANK(E26),C26,E26)))+IF(ISBLANK(D26),B26,D26) &lt; 0, 0, (5*(IF(ISBLANK(E26),C26,E26)))+IF(ISBLANK(D26),B26,D26)))</f>
        <v>6.0000000000000005E-2</v>
      </c>
      <c r="R26" s="33">
        <f>SUM(IF((6*(IF(ISBLANK(E26),C26,E26)))+IF(ISBLANK(D26),B26,D26) &lt; 0, 0, (6*(IF(ISBLANK(E26),C26,E26)))+IF(ISBLANK(D26),B26,D26)))</f>
        <v>6.9999999999999993E-2</v>
      </c>
      <c r="S26" s="33">
        <f>SUM(IF((7*(IF(ISBLANK(E26),C26,E26)))+IF(ISBLANK(D26),B26,D26) &lt; 0, 0, (7*(IF(ISBLANK(E26),C26,E26)))+IF(ISBLANK(D26),B26,D26)))</f>
        <v>0.08</v>
      </c>
      <c r="T26" s="305">
        <f t="shared" si="129"/>
        <v>194161.30060865593</v>
      </c>
      <c r="U26" s="278">
        <f>SUM(IF((9*(IF(ISBLANK(E26),C26,E26)))+IF(ISBLANK(D26),B26,D26) &lt; 0, 0, (9*(IF(ISBLANK(E26),C26,E26)))+IF(ISBLANK(D26),B26,D26)))*12</f>
        <v>1.2</v>
      </c>
      <c r="V26" s="279">
        <f>SUM(IF((11*(IF(ISBLANK(E26),C26,E26)))+IF(ISBLANK(D26),B26,D26) &lt; 0, 0, (11*(IF(ISBLANK(E26),C26,E26)))+IF(ISBLANK(D26),B26,D26)))*12</f>
        <v>1.44</v>
      </c>
      <c r="W26" s="280">
        <f>SUM(IF((13*(IF(ISBLANK(E26),C26,E26)))+IF(ISBLANK(D26),B26,D26) &lt; 0, 0, (13*(IF(ISBLANK(E26),C26,E26)))+IF(ISBLANK(D26),B26,D26)))*12</f>
        <v>1.6800000000000002</v>
      </c>
      <c r="X26" s="177"/>
      <c r="Y26" s="505">
        <v>0</v>
      </c>
      <c r="Z26" s="73">
        <f>SUM(Z18*F26)</f>
        <v>0</v>
      </c>
      <c r="AA26" s="73">
        <f>SUM(AA18*F26)</f>
        <v>0</v>
      </c>
      <c r="AB26" s="73">
        <f>SUM(AB18*F26)</f>
        <v>0</v>
      </c>
      <c r="AC26" s="282">
        <f t="shared" si="106"/>
        <v>0</v>
      </c>
      <c r="AD26" s="74"/>
      <c r="AE26" s="73">
        <f>SUM(AE18*G26)</f>
        <v>0</v>
      </c>
      <c r="AF26" s="73">
        <f>SUM(AF18*G26)</f>
        <v>0</v>
      </c>
      <c r="AG26" s="73">
        <f>SUM(AG18*G26)</f>
        <v>0</v>
      </c>
      <c r="AH26" s="282">
        <f t="shared" si="107"/>
        <v>0</v>
      </c>
      <c r="AI26" s="74"/>
      <c r="AJ26" s="73">
        <f t="shared" si="130"/>
        <v>0</v>
      </c>
      <c r="AK26" s="73">
        <f t="shared" si="131"/>
        <v>0</v>
      </c>
      <c r="AL26" s="73">
        <f t="shared" si="132"/>
        <v>0</v>
      </c>
      <c r="AM26" s="282">
        <f t="shared" si="108"/>
        <v>0</v>
      </c>
      <c r="AN26" s="74"/>
      <c r="AO26" s="73">
        <f>SUM(AO18*I26)</f>
        <v>0</v>
      </c>
      <c r="AP26" s="73">
        <f>SUM(AP18*I26)</f>
        <v>0</v>
      </c>
      <c r="AQ26" s="73">
        <f>SUM(AQ18*I26)</f>
        <v>0</v>
      </c>
      <c r="AR26" s="282">
        <f t="shared" si="109"/>
        <v>0</v>
      </c>
      <c r="AS26" s="74"/>
      <c r="AT26" s="73">
        <f>SUM(AT18*K26)</f>
        <v>378.59594233875134</v>
      </c>
      <c r="AU26" s="73">
        <f>SUM(AU18*K26)</f>
        <v>419.9303076693281</v>
      </c>
      <c r="AV26" s="73">
        <f>SUM(AV18*K26)</f>
        <v>459.89972966333619</v>
      </c>
      <c r="AW26" s="282">
        <f t="shared" si="110"/>
        <v>1258.4259796714155</v>
      </c>
      <c r="AX26" s="74"/>
      <c r="AY26" s="73">
        <f>SUM(AY18*L26)</f>
        <v>1023.3112363954507</v>
      </c>
      <c r="AZ26" s="73">
        <f>SUM(AZ18*L26)</f>
        <v>1123.9218750090442</v>
      </c>
      <c r="BA26" s="73">
        <f>SUM(BA18*L26)</f>
        <v>1221.7126857639325</v>
      </c>
      <c r="BB26" s="282">
        <f t="shared" si="111"/>
        <v>3368.9457971684278</v>
      </c>
      <c r="BC26" s="74"/>
      <c r="BD26" s="73">
        <f>SUM(BD18*M26)</f>
        <v>2010.2558720717334</v>
      </c>
      <c r="BE26" s="73">
        <f>SUM(BE18*M26)</f>
        <v>2184.5607499806006</v>
      </c>
      <c r="BF26" s="73">
        <f>SUM(BF18*M26)</f>
        <v>2355.5480323086049</v>
      </c>
      <c r="BG26" s="282">
        <f t="shared" si="112"/>
        <v>6550.3646543609393</v>
      </c>
      <c r="BH26" s="74"/>
      <c r="BI26" s="73">
        <f>SUM(BI18*N26)</f>
        <v>3487.8124962659285</v>
      </c>
      <c r="BJ26" s="73">
        <f>SUM(BJ18*N26)</f>
        <v>3831.4098387915183</v>
      </c>
      <c r="BK26" s="73">
        <f>SUM(BK18*N26)</f>
        <v>4171.557718557784</v>
      </c>
      <c r="BL26" s="282">
        <f t="shared" si="113"/>
        <v>11490.780053615232</v>
      </c>
      <c r="BM26" s="74"/>
      <c r="BN26" s="73">
        <f>SUM(BN18*P26)</f>
        <v>5844.9357229741472</v>
      </c>
      <c r="BO26" s="73">
        <f>SUM(BO18*P26)</f>
        <v>6474.763891567196</v>
      </c>
      <c r="BP26" s="73">
        <f>SUM(BP18*P26)</f>
        <v>7103.9323457198034</v>
      </c>
      <c r="BQ26" s="282">
        <f t="shared" si="114"/>
        <v>19423.631960261147</v>
      </c>
      <c r="BR26" s="74"/>
      <c r="BS26" s="73">
        <f>SUM(BS18*Q26)</f>
        <v>9638.2588717702529</v>
      </c>
      <c r="BT26" s="73">
        <f>SUM(BT18*Q26)</f>
        <v>10760.642382923521</v>
      </c>
      <c r="BU26" s="73">
        <f>SUM(BU18*Q26)</f>
        <v>11891.939580806475</v>
      </c>
      <c r="BV26" s="282">
        <f t="shared" si="115"/>
        <v>32290.840835500247</v>
      </c>
      <c r="BW26" s="74"/>
      <c r="BX26" s="73">
        <f>SUM(BX18*R26)</f>
        <v>15827.928676384119</v>
      </c>
      <c r="BY26" s="73">
        <f>SUM(BY18*R26)</f>
        <v>17815.004470196458</v>
      </c>
      <c r="BZ26" s="73">
        <f>SUM(BZ18*R26)</f>
        <v>19835.716802209805</v>
      </c>
      <c r="CA26" s="282">
        <f t="shared" si="116"/>
        <v>53478.649948790378</v>
      </c>
      <c r="CB26" s="74"/>
      <c r="CC26" s="73">
        <f>SUM(CC18*S26)</f>
        <v>26103.031916873533</v>
      </c>
      <c r="CD26" s="73">
        <f>SUM(CD18*S26)</f>
        <v>29625.636521857963</v>
      </c>
      <c r="CE26" s="73">
        <f>SUM(CE18*S26)</f>
        <v>33239.509425372671</v>
      </c>
      <c r="CF26" s="282">
        <f t="shared" si="117"/>
        <v>88968.17786410416</v>
      </c>
      <c r="CG26" s="88"/>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57" t="s">
        <v>197</v>
      </c>
      <c r="B27" s="278">
        <v>0</v>
      </c>
      <c r="C27" s="304">
        <v>0</v>
      </c>
      <c r="D27" s="121"/>
      <c r="E27" s="120"/>
      <c r="F27" s="129">
        <v>0</v>
      </c>
      <c r="G27" s="128">
        <v>0</v>
      </c>
      <c r="H27" s="360">
        <v>0</v>
      </c>
      <c r="I27" s="360">
        <v>0</v>
      </c>
      <c r="J27" s="282">
        <f t="shared" si="133"/>
        <v>0</v>
      </c>
      <c r="K27" s="360">
        <v>0</v>
      </c>
      <c r="L27" s="360">
        <v>0</v>
      </c>
      <c r="M27" s="360">
        <v>0</v>
      </c>
      <c r="N27" s="360">
        <v>0</v>
      </c>
      <c r="O27" s="282">
        <f t="shared" si="12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05">
        <f t="shared" si="129"/>
        <v>0</v>
      </c>
      <c r="U27" s="278">
        <f>SUM(IF((5*(IF(ISBLANK(E27),C27,E27)))+IF(ISBLANK(D27),B27,D27) &lt; 0, 0, (5*(IF(ISBLANK(E27),C27,E27)))+IF(ISBLANK(D27),B27,D27)))*12</f>
        <v>0</v>
      </c>
      <c r="V27" s="279">
        <f>SUM(IF((7*(IF(ISBLANK(E27),C27,E27)))+IF(ISBLANK(D27),B27,D27) &lt; 0, 0, (7*(IF(ISBLANK(E27),C27,E27)))+IF(ISBLANK(D27),B27,D27)))*12</f>
        <v>0</v>
      </c>
      <c r="W27" s="280">
        <f>SUM(IF((9*(IF(ISBLANK(E27),C27,E27)))+IF(ISBLANK(D27),B27,D27) &lt; 0, 0, (9*(IF(ISBLANK(E27),C27,E27)))+IF(ISBLANK(D27),B27,D27)))*12</f>
        <v>0</v>
      </c>
      <c r="X27" s="177"/>
      <c r="Y27" s="505">
        <v>0</v>
      </c>
      <c r="Z27" s="73">
        <f>SUM(Z18*F27)</f>
        <v>0</v>
      </c>
      <c r="AA27" s="73">
        <f>SUM(AA18*F27)</f>
        <v>0</v>
      </c>
      <c r="AB27" s="73">
        <f>SUM(AB18*F27)</f>
        <v>0</v>
      </c>
      <c r="AC27" s="282">
        <f t="shared" si="106"/>
        <v>0</v>
      </c>
      <c r="AD27" s="74"/>
      <c r="AE27" s="73">
        <f>SUM(AE18*G27)</f>
        <v>0</v>
      </c>
      <c r="AF27" s="73">
        <f>SUM(AF18*G27)</f>
        <v>0</v>
      </c>
      <c r="AG27" s="73">
        <f>SUM(AG18*G27)</f>
        <v>0</v>
      </c>
      <c r="AH27" s="282">
        <f t="shared" si="107"/>
        <v>0</v>
      </c>
      <c r="AI27" s="74"/>
      <c r="AJ27" s="73">
        <f t="shared" si="130"/>
        <v>0</v>
      </c>
      <c r="AK27" s="73">
        <f t="shared" si="131"/>
        <v>0</v>
      </c>
      <c r="AL27" s="73">
        <f t="shared" si="132"/>
        <v>0</v>
      </c>
      <c r="AM27" s="282">
        <f t="shared" si="108"/>
        <v>0</v>
      </c>
      <c r="AN27" s="74"/>
      <c r="AO27" s="73">
        <f>SUM(AO18*I27)</f>
        <v>0</v>
      </c>
      <c r="AP27" s="73">
        <f>SUM(AP18*I27)</f>
        <v>0</v>
      </c>
      <c r="AQ27" s="73">
        <f>SUM(AQ18*I27)</f>
        <v>0</v>
      </c>
      <c r="AR27" s="282">
        <f t="shared" si="109"/>
        <v>0</v>
      </c>
      <c r="AS27" s="74"/>
      <c r="AT27" s="73">
        <f>SUM(AT18*K27)</f>
        <v>0</v>
      </c>
      <c r="AU27" s="73">
        <f>SUM(AU18*K27)</f>
        <v>0</v>
      </c>
      <c r="AV27" s="73">
        <f>SUM(AV18*K27)</f>
        <v>0</v>
      </c>
      <c r="AW27" s="282">
        <f t="shared" si="110"/>
        <v>0</v>
      </c>
      <c r="AX27" s="74"/>
      <c r="AY27" s="73">
        <f>SUM(AY18*L27)</f>
        <v>0</v>
      </c>
      <c r="AZ27" s="73">
        <f>SUM(AZ18*L27)</f>
        <v>0</v>
      </c>
      <c r="BA27" s="73">
        <f>SUM(BA18*L27)</f>
        <v>0</v>
      </c>
      <c r="BB27" s="282">
        <f t="shared" si="111"/>
        <v>0</v>
      </c>
      <c r="BC27" s="74"/>
      <c r="BD27" s="73">
        <f>SUM(BD18*M27)</f>
        <v>0</v>
      </c>
      <c r="BE27" s="73">
        <f>SUM(BE18*M27)</f>
        <v>0</v>
      </c>
      <c r="BF27" s="73">
        <f>SUM(BF18*M27)</f>
        <v>0</v>
      </c>
      <c r="BG27" s="282">
        <f t="shared" si="112"/>
        <v>0</v>
      </c>
      <c r="BH27" s="74"/>
      <c r="BI27" s="73">
        <f>SUM(BI18*N27)</f>
        <v>0</v>
      </c>
      <c r="BJ27" s="73">
        <f>SUM(BJ18*N27)</f>
        <v>0</v>
      </c>
      <c r="BK27" s="73">
        <f>SUM(BK18*N27)</f>
        <v>0</v>
      </c>
      <c r="BL27" s="282">
        <f t="shared" si="113"/>
        <v>0</v>
      </c>
      <c r="BM27" s="74"/>
      <c r="BN27" s="73">
        <f>SUM(BN18*P27)</f>
        <v>0</v>
      </c>
      <c r="BO27" s="73">
        <f>SUM(BO18*P27)</f>
        <v>0</v>
      </c>
      <c r="BP27" s="73">
        <f>SUM(BP18*P27)</f>
        <v>0</v>
      </c>
      <c r="BQ27" s="282">
        <f t="shared" si="114"/>
        <v>0</v>
      </c>
      <c r="BR27" s="74"/>
      <c r="BS27" s="73">
        <f>SUM(BS18*Q27)</f>
        <v>0</v>
      </c>
      <c r="BT27" s="73">
        <f>SUM(BT18*Q27)</f>
        <v>0</v>
      </c>
      <c r="BU27" s="73">
        <f>SUM(BU18*Q27)</f>
        <v>0</v>
      </c>
      <c r="BV27" s="282">
        <f t="shared" si="115"/>
        <v>0</v>
      </c>
      <c r="BW27" s="74"/>
      <c r="BX27" s="73">
        <f>SUM(BX18*R27)</f>
        <v>0</v>
      </c>
      <c r="BY27" s="73">
        <f>SUM(BY18*R27)</f>
        <v>0</v>
      </c>
      <c r="BZ27" s="73">
        <f>SUM(BZ18*R27)</f>
        <v>0</v>
      </c>
      <c r="CA27" s="282">
        <f t="shared" si="116"/>
        <v>0</v>
      </c>
      <c r="CB27" s="74"/>
      <c r="CC27" s="73">
        <f>SUM(CC18*S27)</f>
        <v>0</v>
      </c>
      <c r="CD27" s="73">
        <f>SUM(CD18*S27)</f>
        <v>0</v>
      </c>
      <c r="CE27" s="73">
        <f>SUM(CE18*S27)</f>
        <v>0</v>
      </c>
      <c r="CF27" s="282">
        <f t="shared" si="117"/>
        <v>0</v>
      </c>
      <c r="CG27" s="88"/>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57" t="s">
        <v>198</v>
      </c>
      <c r="B28" s="278">
        <v>0</v>
      </c>
      <c r="C28" s="304">
        <v>0</v>
      </c>
      <c r="D28" s="121"/>
      <c r="E28" s="120"/>
      <c r="F28" s="129">
        <v>0</v>
      </c>
      <c r="G28" s="128">
        <v>0</v>
      </c>
      <c r="H28" s="360">
        <v>0</v>
      </c>
      <c r="I28" s="360">
        <v>0</v>
      </c>
      <c r="J28" s="282">
        <f t="shared" si="133"/>
        <v>0</v>
      </c>
      <c r="K28" s="360">
        <v>0</v>
      </c>
      <c r="L28" s="360">
        <v>0</v>
      </c>
      <c r="M28" s="360">
        <v>0</v>
      </c>
      <c r="N28" s="360">
        <v>0</v>
      </c>
      <c r="O28" s="282">
        <f t="shared" si="12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05">
        <f t="shared" si="129"/>
        <v>0</v>
      </c>
      <c r="U28" s="278">
        <f>SUM(IF((6*(IF(ISBLANK(E28),C28,E28)))+IF(ISBLANK(D28),B28,D28) &lt; 0, 0, (6*(IF(ISBLANK(E28),C28,E28)))+IF(ISBLANK(D28),B28,D28)))*12</f>
        <v>0</v>
      </c>
      <c r="V28" s="279">
        <f>SUM(IF((8*(IF(ISBLANK(E28),C28,E28)))+IF(ISBLANK(D28),B28,D28) &lt; 0, 0, (8*(IF(ISBLANK(E28),C28,E28)))+IF(ISBLANK(D28),B28,D28)))*12</f>
        <v>0</v>
      </c>
      <c r="W28" s="280">
        <f>SUM(IF((10*(IF(ISBLANK(E28),C28,E28)))+IF(ISBLANK(D28),B28,D28) &lt; 0, 0, (10*(IF(ISBLANK(E28),C28,E28)))+IF(ISBLANK(D28),B28,D28)))*12</f>
        <v>0</v>
      </c>
      <c r="X28" s="177"/>
      <c r="Y28" s="505">
        <v>0</v>
      </c>
      <c r="Z28" s="73">
        <f>SUM(Z18*F28)</f>
        <v>0</v>
      </c>
      <c r="AA28" s="73">
        <f>SUM(AA18*F28)</f>
        <v>0</v>
      </c>
      <c r="AB28" s="73">
        <f>SUM(AB18*F28)</f>
        <v>0</v>
      </c>
      <c r="AC28" s="282">
        <f t="shared" si="106"/>
        <v>0</v>
      </c>
      <c r="AD28" s="74"/>
      <c r="AE28" s="73">
        <f>SUM(AE18*G28)</f>
        <v>0</v>
      </c>
      <c r="AF28" s="73">
        <f>SUM(AF18*G28)</f>
        <v>0</v>
      </c>
      <c r="AG28" s="73">
        <f>SUM(AG18*G28)</f>
        <v>0</v>
      </c>
      <c r="AH28" s="282">
        <f t="shared" si="107"/>
        <v>0</v>
      </c>
      <c r="AI28" s="74"/>
      <c r="AJ28" s="73">
        <f t="shared" si="130"/>
        <v>0</v>
      </c>
      <c r="AK28" s="73">
        <f t="shared" si="131"/>
        <v>0</v>
      </c>
      <c r="AL28" s="73">
        <f t="shared" si="132"/>
        <v>0</v>
      </c>
      <c r="AM28" s="282">
        <f t="shared" si="108"/>
        <v>0</v>
      </c>
      <c r="AN28" s="74"/>
      <c r="AO28" s="73">
        <f>SUM(AO18*I28)</f>
        <v>0</v>
      </c>
      <c r="AP28" s="73">
        <f>SUM(AP18*I28)</f>
        <v>0</v>
      </c>
      <c r="AQ28" s="73">
        <f>SUM(AQ18*I28)</f>
        <v>0</v>
      </c>
      <c r="AR28" s="282">
        <f t="shared" si="109"/>
        <v>0</v>
      </c>
      <c r="AS28" s="74"/>
      <c r="AT28" s="73">
        <f>SUM(AT18*K28)</f>
        <v>0</v>
      </c>
      <c r="AU28" s="73">
        <f>SUM(AU18*K28)</f>
        <v>0</v>
      </c>
      <c r="AV28" s="73">
        <f>SUM(AV18*K28)</f>
        <v>0</v>
      </c>
      <c r="AW28" s="282">
        <f t="shared" si="110"/>
        <v>0</v>
      </c>
      <c r="AX28" s="74"/>
      <c r="AY28" s="73">
        <f>SUM(AY18*L28)</f>
        <v>0</v>
      </c>
      <c r="AZ28" s="73">
        <f>SUM(AZ18*L28)</f>
        <v>0</v>
      </c>
      <c r="BA28" s="73">
        <f>SUM(BA18*L28)</f>
        <v>0</v>
      </c>
      <c r="BB28" s="282">
        <f t="shared" si="111"/>
        <v>0</v>
      </c>
      <c r="BC28" s="74"/>
      <c r="BD28" s="73">
        <f>SUM(BD18*M28)</f>
        <v>0</v>
      </c>
      <c r="BE28" s="73">
        <f>SUM(BE18*M28)</f>
        <v>0</v>
      </c>
      <c r="BF28" s="73">
        <f>SUM(BF18*M28)</f>
        <v>0</v>
      </c>
      <c r="BG28" s="282">
        <f t="shared" si="112"/>
        <v>0</v>
      </c>
      <c r="BH28" s="74"/>
      <c r="BI28" s="73">
        <f>SUM(BI18*N28)</f>
        <v>0</v>
      </c>
      <c r="BJ28" s="73">
        <f>SUM(BJ18*N28)</f>
        <v>0</v>
      </c>
      <c r="BK28" s="73">
        <f>SUM(BK18*N28)</f>
        <v>0</v>
      </c>
      <c r="BL28" s="282">
        <f t="shared" si="113"/>
        <v>0</v>
      </c>
      <c r="BM28" s="74"/>
      <c r="BN28" s="73">
        <f>SUM(BN18*P28)</f>
        <v>0</v>
      </c>
      <c r="BO28" s="73">
        <f>SUM(BO18*P28)</f>
        <v>0</v>
      </c>
      <c r="BP28" s="73">
        <f>SUM(BP18*P28)</f>
        <v>0</v>
      </c>
      <c r="BQ28" s="282">
        <f t="shared" si="114"/>
        <v>0</v>
      </c>
      <c r="BR28" s="74"/>
      <c r="BS28" s="73">
        <f>SUM(BS18*Q28)</f>
        <v>0</v>
      </c>
      <c r="BT28" s="73">
        <f>SUM(BT18*Q28)</f>
        <v>0</v>
      </c>
      <c r="BU28" s="73">
        <f>SUM(BU18*Q28)</f>
        <v>0</v>
      </c>
      <c r="BV28" s="282">
        <f t="shared" si="115"/>
        <v>0</v>
      </c>
      <c r="BW28" s="74"/>
      <c r="BX28" s="73">
        <f>SUM(BX18*R28)</f>
        <v>0</v>
      </c>
      <c r="BY28" s="73">
        <f>SUM(BY18*R28)</f>
        <v>0</v>
      </c>
      <c r="BZ28" s="73">
        <f>SUM(BZ18*R28)</f>
        <v>0</v>
      </c>
      <c r="CA28" s="282">
        <f t="shared" si="116"/>
        <v>0</v>
      </c>
      <c r="CB28" s="74"/>
      <c r="CC28" s="73">
        <f>SUM(CC18*S28)</f>
        <v>0</v>
      </c>
      <c r="CD28" s="73">
        <f>SUM(CD18*S28)</f>
        <v>0</v>
      </c>
      <c r="CE28" s="73">
        <f>SUM(CE18*S28)</f>
        <v>0</v>
      </c>
      <c r="CF28" s="282">
        <f t="shared" si="117"/>
        <v>0</v>
      </c>
      <c r="CG28" s="88"/>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58" t="s">
        <v>199</v>
      </c>
      <c r="B29" s="645" t="s">
        <v>209</v>
      </c>
      <c r="C29" s="646"/>
      <c r="D29" s="645" t="s">
        <v>209</v>
      </c>
      <c r="E29" s="646"/>
      <c r="F29" s="130">
        <v>0</v>
      </c>
      <c r="G29" s="131">
        <v>0</v>
      </c>
      <c r="H29" s="131">
        <v>0</v>
      </c>
      <c r="I29" s="131">
        <v>0</v>
      </c>
      <c r="J29" s="282">
        <f t="shared" si="133"/>
        <v>0</v>
      </c>
      <c r="K29" s="131">
        <v>0</v>
      </c>
      <c r="L29" s="131">
        <v>0</v>
      </c>
      <c r="M29" s="131">
        <v>0</v>
      </c>
      <c r="N29" s="131">
        <v>0</v>
      </c>
      <c r="O29" s="282">
        <f t="shared" si="124"/>
        <v>0</v>
      </c>
      <c r="P29" s="131">
        <v>0</v>
      </c>
      <c r="Q29" s="131">
        <v>0</v>
      </c>
      <c r="R29" s="131">
        <v>0</v>
      </c>
      <c r="S29" s="131">
        <v>0</v>
      </c>
      <c r="T29" s="305">
        <f t="shared" si="129"/>
        <v>0</v>
      </c>
      <c r="U29" s="355">
        <v>0</v>
      </c>
      <c r="V29" s="356">
        <v>0</v>
      </c>
      <c r="W29" s="357">
        <v>0</v>
      </c>
      <c r="X29" s="177"/>
      <c r="Y29" s="505">
        <v>0</v>
      </c>
      <c r="Z29" s="73">
        <f>SUM(F29/3)</f>
        <v>0</v>
      </c>
      <c r="AA29" s="73">
        <f>SUM(F29/3)</f>
        <v>0</v>
      </c>
      <c r="AB29" s="73">
        <f>SUM(F29/3)</f>
        <v>0</v>
      </c>
      <c r="AC29" s="282">
        <f t="shared" si="106"/>
        <v>0</v>
      </c>
      <c r="AD29" s="74"/>
      <c r="AE29" s="73">
        <f>SUM(G29/3)</f>
        <v>0</v>
      </c>
      <c r="AF29" s="73">
        <f>SUM(G29/3)</f>
        <v>0</v>
      </c>
      <c r="AG29" s="73">
        <f>SUM(G29/3)</f>
        <v>0</v>
      </c>
      <c r="AH29" s="282">
        <f t="shared" si="107"/>
        <v>0</v>
      </c>
      <c r="AI29" s="74"/>
      <c r="AJ29" s="73">
        <f>SUM(H29/3)</f>
        <v>0</v>
      </c>
      <c r="AK29" s="73">
        <f>SUM(H29/3)</f>
        <v>0</v>
      </c>
      <c r="AL29" s="73">
        <f>SUM(H29/3)</f>
        <v>0</v>
      </c>
      <c r="AM29" s="282">
        <f t="shared" si="108"/>
        <v>0</v>
      </c>
      <c r="AN29" s="74"/>
      <c r="AO29" s="73">
        <f>SUM(I29/3)</f>
        <v>0</v>
      </c>
      <c r="AP29" s="73">
        <f>SUM(I29/3)</f>
        <v>0</v>
      </c>
      <c r="AQ29" s="73">
        <f>SUM(I29/3)</f>
        <v>0</v>
      </c>
      <c r="AR29" s="282">
        <f t="shared" si="109"/>
        <v>0</v>
      </c>
      <c r="AS29" s="74"/>
      <c r="AT29" s="73">
        <f>SUM(K29/3)</f>
        <v>0</v>
      </c>
      <c r="AU29" s="73">
        <f>SUM(K29/3)</f>
        <v>0</v>
      </c>
      <c r="AV29" s="73">
        <f>SUM(K29/3)</f>
        <v>0</v>
      </c>
      <c r="AW29" s="282">
        <f t="shared" si="110"/>
        <v>0</v>
      </c>
      <c r="AX29" s="74"/>
      <c r="AY29" s="73">
        <f>SUM(L29/3)</f>
        <v>0</v>
      </c>
      <c r="AZ29" s="73">
        <f>SUM(L29/3)</f>
        <v>0</v>
      </c>
      <c r="BA29" s="73">
        <f>SUM(L29/3)</f>
        <v>0</v>
      </c>
      <c r="BB29" s="282">
        <f t="shared" si="111"/>
        <v>0</v>
      </c>
      <c r="BC29" s="74"/>
      <c r="BD29" s="73">
        <f>SUM(M29/3)</f>
        <v>0</v>
      </c>
      <c r="BE29" s="73">
        <f>SUM(M29/3)</f>
        <v>0</v>
      </c>
      <c r="BF29" s="73">
        <f>SUM(M29/3)</f>
        <v>0</v>
      </c>
      <c r="BG29" s="282">
        <f t="shared" si="112"/>
        <v>0</v>
      </c>
      <c r="BH29" s="74"/>
      <c r="BI29" s="73">
        <f>SUM(N29/3)</f>
        <v>0</v>
      </c>
      <c r="BJ29" s="73">
        <f>SUM(N29/3)</f>
        <v>0</v>
      </c>
      <c r="BK29" s="73">
        <f>SUM(N29/3)</f>
        <v>0</v>
      </c>
      <c r="BL29" s="282">
        <f t="shared" si="113"/>
        <v>0</v>
      </c>
      <c r="BM29" s="74"/>
      <c r="BN29" s="73">
        <f>SUM(P29/3)</f>
        <v>0</v>
      </c>
      <c r="BO29" s="73">
        <f>SUM(P29/3)</f>
        <v>0</v>
      </c>
      <c r="BP29" s="73">
        <f>SUM(P29/3)</f>
        <v>0</v>
      </c>
      <c r="BQ29" s="282">
        <f t="shared" si="114"/>
        <v>0</v>
      </c>
      <c r="BR29" s="74"/>
      <c r="BS29" s="73">
        <f>SUM(Q29/3)</f>
        <v>0</v>
      </c>
      <c r="BT29" s="73">
        <f>SUM(Q29/3)</f>
        <v>0</v>
      </c>
      <c r="BU29" s="73">
        <f>SUM(Q29/3)</f>
        <v>0</v>
      </c>
      <c r="BV29" s="282">
        <f t="shared" si="115"/>
        <v>0</v>
      </c>
      <c r="BW29" s="74"/>
      <c r="BX29" s="73">
        <f>SUM(R29/3)</f>
        <v>0</v>
      </c>
      <c r="BY29" s="73">
        <f>SUM(R29/3)</f>
        <v>0</v>
      </c>
      <c r="BZ29" s="73">
        <f>SUM(R29/3)</f>
        <v>0</v>
      </c>
      <c r="CA29" s="282">
        <f t="shared" si="116"/>
        <v>0</v>
      </c>
      <c r="CB29" s="74"/>
      <c r="CC29" s="73">
        <f>SUM(S29/3)</f>
        <v>0</v>
      </c>
      <c r="CD29" s="73">
        <f>SUM(S29/3)</f>
        <v>0</v>
      </c>
      <c r="CE29" s="73">
        <f>SUM(S29/3)</f>
        <v>0</v>
      </c>
      <c r="CF29" s="282">
        <f t="shared" si="117"/>
        <v>0</v>
      </c>
      <c r="CG29" s="88"/>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59" t="s">
        <v>200</v>
      </c>
      <c r="B30" s="321"/>
      <c r="C30" s="322"/>
      <c r="D30" s="202"/>
      <c r="E30" s="203"/>
      <c r="F30" s="101">
        <f>AC30</f>
        <v>0</v>
      </c>
      <c r="G30" s="75">
        <f>AH30</f>
        <v>0</v>
      </c>
      <c r="H30" s="75">
        <f>AM30</f>
        <v>13374.565318442659</v>
      </c>
      <c r="I30" s="75">
        <f>AR30</f>
        <v>53135.675125748952</v>
      </c>
      <c r="J30" s="72">
        <f>SUM(F30:I30)</f>
        <v>66510.240444191615</v>
      </c>
      <c r="K30" s="75">
        <f>AW30</f>
        <v>99415.652394041841</v>
      </c>
      <c r="L30" s="75">
        <f>BB30</f>
        <v>180238.60014851089</v>
      </c>
      <c r="M30" s="75">
        <f>BG30</f>
        <v>294766.40944624227</v>
      </c>
      <c r="N30" s="75">
        <f>BL30</f>
        <v>468249.28718482063</v>
      </c>
      <c r="O30" s="72">
        <f>SUM(K30:N30)</f>
        <v>1042669.9491736157</v>
      </c>
      <c r="P30" s="75">
        <f>BQ30</f>
        <v>741982.74088197562</v>
      </c>
      <c r="Q30" s="75">
        <f>BV30</f>
        <v>1178615.690495759</v>
      </c>
      <c r="R30" s="75">
        <f>CA30</f>
        <v>1887032.3624787466</v>
      </c>
      <c r="S30" s="75">
        <f>CF30</f>
        <v>3058281.1140785804</v>
      </c>
      <c r="T30" s="158">
        <f>SUM(P30:S30)</f>
        <v>6865911.9079350615</v>
      </c>
      <c r="U30" s="162">
        <f>SUM(((S18+U18)/2)*(U21+U22+U23+U24+U25+U26+U27+U28))</f>
        <v>26311702.343998369</v>
      </c>
      <c r="V30" s="72">
        <f>SUM(((U18+V18)/2)*(V21+V22+V23+V24+V25+V26+V27+V28))</f>
        <v>89270384.9044303</v>
      </c>
      <c r="W30" s="89">
        <f>SUM(((V18+W18)/2)*(W21+W22+W23+W24+W25+W26+W27+W28))</f>
        <v>230805834.19732502</v>
      </c>
      <c r="X30" s="178"/>
      <c r="Y30" s="509">
        <v>0</v>
      </c>
      <c r="Z30" s="75">
        <f>SUM(Z21:Z29)</f>
        <v>0</v>
      </c>
      <c r="AA30" s="75">
        <f>SUM(AA21:AA29)</f>
        <v>0</v>
      </c>
      <c r="AB30" s="75">
        <f>SUM(AB21:AB29)</f>
        <v>0</v>
      </c>
      <c r="AC30" s="72">
        <f>SUM(Z30:AB30)</f>
        <v>0</v>
      </c>
      <c r="AD30" s="72"/>
      <c r="AE30" s="75">
        <f>SUM(AE21:AE29)</f>
        <v>0</v>
      </c>
      <c r="AF30" s="75">
        <f>SUM(AF21:AF29)</f>
        <v>0</v>
      </c>
      <c r="AG30" s="75">
        <f>SUM(AG21:AG29)</f>
        <v>0</v>
      </c>
      <c r="AH30" s="72">
        <f>SUM(AE30:AG30)</f>
        <v>0</v>
      </c>
      <c r="AI30" s="72"/>
      <c r="AJ30" s="75">
        <f>SUM(AJ21:AJ29)</f>
        <v>2992.289293870017</v>
      </c>
      <c r="AK30" s="75">
        <f>SUM(AK21:AK29)</f>
        <v>4455.851559649268</v>
      </c>
      <c r="AL30" s="75">
        <f>SUM(AL21:AL29)</f>
        <v>5926.4244649233751</v>
      </c>
      <c r="AM30" s="72">
        <f>SUM(AJ30:AL30)</f>
        <v>13374.565318442659</v>
      </c>
      <c r="AN30" s="72"/>
      <c r="AO30" s="75">
        <f>SUM(AO21:AO29)</f>
        <v>14918.52056138515</v>
      </c>
      <c r="AP30" s="75">
        <f>SUM(AP21:AP29)</f>
        <v>17730.303266225495</v>
      </c>
      <c r="AQ30" s="75">
        <f>SUM(AQ21:AQ29)</f>
        <v>20486.851298138303</v>
      </c>
      <c r="AR30" s="72">
        <f>SUM(AO30:AQ30)</f>
        <v>53135.675125748952</v>
      </c>
      <c r="AS30" s="72"/>
      <c r="AT30" s="75">
        <f>SUM(AT21:AT29)</f>
        <v>29909.079444761352</v>
      </c>
      <c r="AU30" s="75">
        <f>SUM(AU21:AU29)</f>
        <v>33174.49430587692</v>
      </c>
      <c r="AV30" s="75">
        <f>SUM(AV21:AV29)</f>
        <v>36332.078643403569</v>
      </c>
      <c r="AW30" s="72">
        <f>SUM(AT30:AV30)</f>
        <v>99415.652394041841</v>
      </c>
      <c r="AX30" s="72"/>
      <c r="AY30" s="75">
        <f>SUM(AY21:AY29)</f>
        <v>54747.151147156612</v>
      </c>
      <c r="AZ30" s="75">
        <f>SUM(AZ21:AZ29)</f>
        <v>60129.820312983873</v>
      </c>
      <c r="BA30" s="75">
        <f>SUM(BA21:BA29)</f>
        <v>65361.628688370394</v>
      </c>
      <c r="BB30" s="72">
        <f>SUM(AY30:BA30)</f>
        <v>180238.60014851089</v>
      </c>
      <c r="BC30" s="72"/>
      <c r="BD30" s="75">
        <f>SUM(BD21:BD29)</f>
        <v>90461.514243228012</v>
      </c>
      <c r="BE30" s="75">
        <f>SUM(BE21:BE29)</f>
        <v>98305.23374912703</v>
      </c>
      <c r="BF30" s="75">
        <f>SUM(BF21:BF29)</f>
        <v>105999.66145388722</v>
      </c>
      <c r="BG30" s="72">
        <f>SUM(BD30:BF30)</f>
        <v>294766.40944624227</v>
      </c>
      <c r="BH30" s="72"/>
      <c r="BI30" s="75">
        <f>SUM(BI21:BI29)</f>
        <v>142128.35922283659</v>
      </c>
      <c r="BJ30" s="75">
        <f>SUM(BJ21:BJ29)</f>
        <v>156129.95093075439</v>
      </c>
      <c r="BK30" s="75">
        <f>SUM(BK21:BK29)</f>
        <v>169990.97703122968</v>
      </c>
      <c r="BL30" s="72">
        <f>SUM(BI30:BK30)</f>
        <v>468249.28718482063</v>
      </c>
      <c r="BM30" s="72"/>
      <c r="BN30" s="75">
        <f>SUM(BN21:BN29)</f>
        <v>223276.54461761238</v>
      </c>
      <c r="BO30" s="75">
        <f>SUM(BO21:BO29)</f>
        <v>247335.98065786684</v>
      </c>
      <c r="BP30" s="75">
        <f>SUM(BP21:BP29)</f>
        <v>271370.21560649644</v>
      </c>
      <c r="BQ30" s="72">
        <f>SUM(BN30:BP30)</f>
        <v>741982.74088197562</v>
      </c>
      <c r="BR30" s="72"/>
      <c r="BS30" s="75">
        <f>SUM(BS21:BS29)</f>
        <v>351796.44881961425</v>
      </c>
      <c r="BT30" s="75">
        <f>SUM(BT21:BT29)</f>
        <v>392763.44697670848</v>
      </c>
      <c r="BU30" s="75">
        <f>SUM(BU21:BU29)</f>
        <v>434055.79469943634</v>
      </c>
      <c r="BV30" s="72">
        <f>SUM(BS30:BU30)</f>
        <v>1178615.690495759</v>
      </c>
      <c r="BW30" s="72"/>
      <c r="BX30" s="75">
        <f>SUM(BX21:BX29)</f>
        <v>558499.76900955406</v>
      </c>
      <c r="BY30" s="75">
        <f>SUM(BY21:BY29)</f>
        <v>628615.15773407498</v>
      </c>
      <c r="BZ30" s="75">
        <f>SUM(BZ21:BZ29)</f>
        <v>699917.43573511753</v>
      </c>
      <c r="CA30" s="72">
        <f>SUM(BX30:BZ30)</f>
        <v>1887032.3624787466</v>
      </c>
      <c r="CB30" s="72"/>
      <c r="CC30" s="75">
        <f>SUM(CC21:CC29)</f>
        <v>897291.72214252769</v>
      </c>
      <c r="CD30" s="75">
        <f>SUM(CD21:CD29)</f>
        <v>1018381.2554388675</v>
      </c>
      <c r="CE30" s="75">
        <f>SUM(CE21:CE29)</f>
        <v>1142608.1364971853</v>
      </c>
      <c r="CF30" s="84">
        <f>SUM(CC30:CE30)</f>
        <v>3058281.1140785804</v>
      </c>
      <c r="CG30" s="89"/>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5"/>
      <c r="B31" s="160"/>
      <c r="C31" s="323"/>
      <c r="D31" s="40"/>
      <c r="E31" s="42"/>
      <c r="F31" s="102"/>
      <c r="G31" s="30"/>
      <c r="H31" s="30"/>
      <c r="I31" s="30"/>
      <c r="J31" s="30"/>
      <c r="K31" s="30"/>
      <c r="L31" s="30"/>
      <c r="M31" s="30"/>
      <c r="N31" s="30"/>
      <c r="O31" s="30"/>
      <c r="P31" s="30"/>
      <c r="Q31" s="30"/>
      <c r="R31" s="30"/>
      <c r="S31" s="30"/>
      <c r="T31" s="108"/>
      <c r="U31" s="40"/>
      <c r="V31" s="30"/>
      <c r="W31" s="42"/>
      <c r="X31" s="168"/>
      <c r="Y31" s="66"/>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0" t="s">
        <v>211</v>
      </c>
      <c r="B32" s="292"/>
      <c r="C32" s="324"/>
      <c r="D32" s="302"/>
      <c r="E32" s="303"/>
      <c r="F32" s="103"/>
      <c r="G32" s="69"/>
      <c r="H32" s="69"/>
      <c r="I32" s="69"/>
      <c r="J32" s="285"/>
      <c r="K32" s="69"/>
      <c r="L32" s="69"/>
      <c r="M32" s="69"/>
      <c r="N32" s="69"/>
      <c r="O32" s="285"/>
      <c r="P32" s="69"/>
      <c r="Q32" s="69"/>
      <c r="R32" s="69"/>
      <c r="S32" s="69"/>
      <c r="T32" s="277"/>
      <c r="U32" s="284"/>
      <c r="V32" s="285"/>
      <c r="W32" s="286"/>
      <c r="X32" s="178"/>
      <c r="Y32" s="504"/>
      <c r="Z32" s="69"/>
      <c r="AA32" s="69"/>
      <c r="AB32" s="69"/>
      <c r="AC32" s="285"/>
      <c r="AD32" s="72"/>
      <c r="AE32" s="69"/>
      <c r="AF32" s="69"/>
      <c r="AG32" s="69"/>
      <c r="AH32" s="285"/>
      <c r="AI32" s="72"/>
      <c r="AJ32" s="69"/>
      <c r="AK32" s="69"/>
      <c r="AL32" s="69"/>
      <c r="AM32" s="285"/>
      <c r="AN32" s="72"/>
      <c r="AO32" s="69"/>
      <c r="AP32" s="69"/>
      <c r="AQ32" s="69"/>
      <c r="AR32" s="285"/>
      <c r="AS32" s="72"/>
      <c r="AT32" s="69"/>
      <c r="AU32" s="69"/>
      <c r="AV32" s="69"/>
      <c r="AW32" s="285"/>
      <c r="AX32" s="72"/>
      <c r="AY32" s="69"/>
      <c r="AZ32" s="69"/>
      <c r="BA32" s="69"/>
      <c r="BB32" s="285"/>
      <c r="BC32" s="72"/>
      <c r="BD32" s="69"/>
      <c r="BE32" s="69"/>
      <c r="BF32" s="69"/>
      <c r="BG32" s="285"/>
      <c r="BH32" s="72"/>
      <c r="BI32" s="69"/>
      <c r="BJ32" s="69"/>
      <c r="BK32" s="69"/>
      <c r="BL32" s="285"/>
      <c r="BM32" s="72"/>
      <c r="BN32" s="69"/>
      <c r="BO32" s="69"/>
      <c r="BP32" s="69"/>
      <c r="BQ32" s="285"/>
      <c r="BR32" s="72"/>
      <c r="BS32" s="69"/>
      <c r="BT32" s="69"/>
      <c r="BU32" s="69"/>
      <c r="BV32" s="285"/>
      <c r="BW32" s="72"/>
      <c r="BX32" s="69"/>
      <c r="BY32" s="69"/>
      <c r="BZ32" s="69"/>
      <c r="CA32" s="285"/>
      <c r="CB32" s="72"/>
      <c r="CC32" s="69"/>
      <c r="CD32" s="69"/>
      <c r="CE32" s="69"/>
      <c r="CF32" s="285"/>
      <c r="CG32" s="89"/>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1" t="s">
        <v>201</v>
      </c>
      <c r="B33" s="281">
        <v>0</v>
      </c>
      <c r="C33" s="269">
        <v>0.06</v>
      </c>
      <c r="D33" s="116"/>
      <c r="E33" s="117"/>
      <c r="F33" s="104">
        <f>SUM((IF(ISBLANK(D33),B33,D33))+(F34*(IF(ISBLANK(E33),C33,E33))))</f>
        <v>1200</v>
      </c>
      <c r="G33" s="70">
        <f>SUM((IF(ISBLANK(D33),B33,D33))+(G34*(IF(ISBLANK(E33),C33,E33))))</f>
        <v>1200</v>
      </c>
      <c r="H33" s="70">
        <f>SUM((IF(ISBLANK(D33),B33,D33))+(H34*(IF(ISBLANK(E33),C33,E33))))</f>
        <v>1226.7491306368852</v>
      </c>
      <c r="I33" s="70">
        <f>SUM((IF(ISBLANK(D33),B33,D33))+(I34*(IF(ISBLANK(E33),C33,E33))))</f>
        <v>1327.7069133758084</v>
      </c>
      <c r="J33" s="282">
        <f>SUM(AC33+AH33+AM33+AR33)</f>
        <v>14863.368132038082</v>
      </c>
      <c r="K33" s="70">
        <f>SUM((IF(ISBLANK(D33),B33,D33))+(K34*(IF(ISBLANK(E33),C33,E33))))</f>
        <v>1506.6550876850836</v>
      </c>
      <c r="L33" s="70">
        <f>SUM((IF(ISBLANK(D33),B33,D33))+(L34*(IF(ISBLANK(E33),C33,E33))))</f>
        <v>1813.060707937552</v>
      </c>
      <c r="M33" s="70">
        <f>SUM((IF(ISBLANK(D33),B33,D33))+(M34*(IF(ISBLANK(E33),C33,E33))))</f>
        <v>2284.6869630515398</v>
      </c>
      <c r="N33" s="70">
        <f>SUM((IF(ISBLANK(D33),B33,D33))+(N34*(IF(ISBLANK(E33),C33,E33))))</f>
        <v>2987.0608938287705</v>
      </c>
      <c r="O33" s="282">
        <f>SUM(AW33+BB33+BG33+BL33)</f>
        <v>25774.390957508836</v>
      </c>
      <c r="P33" s="70">
        <f>SUM((IF(ISBLANK(D33),B33,D33))+(P34*(IF(ISBLANK(E33),C33,E33))))</f>
        <v>4025.8367310635367</v>
      </c>
      <c r="Q33" s="70">
        <f>SUM((IF(ISBLANK(D33),B33,D33))+(Q34*(IF(ISBLANK(E33),C33,E33))))</f>
        <v>5558.0371287080234</v>
      </c>
      <c r="R33" s="70">
        <f>SUM((IF(ISBLANK(D33),B33,D33))+(R34*(IF(ISBLANK(E33),C33,E33))))</f>
        <v>7822.4759636825193</v>
      </c>
      <c r="S33" s="70">
        <f>SUM((IF(ISBLANK(D33),B33,D33))+(S34*(IF(ISBLANK(E33),C33,E33))))</f>
        <v>11186.585189168956</v>
      </c>
      <c r="T33" s="305">
        <f>SUM(BQ33+BV33+CA33+CF33)</f>
        <v>85778.805037869111</v>
      </c>
      <c r="U33" s="281">
        <f>SUM((IF(ISBLANK(D33),B33,D33))+(U34*(IF(ISBLANK(E33),C33,E33))))</f>
        <v>449979.45039800787</v>
      </c>
      <c r="V33" s="282">
        <f>SUM((IF(ISBLANK(D33),B33,D33))+(V34*(IF(ISBLANK(E33),C33,E33))))</f>
        <v>691009.48963996966</v>
      </c>
      <c r="W33" s="283">
        <f>SUM((IF(ISBLANK(D33),B33,D33))+(W34*(IF(ISBLANK(E33),C33,E33))))</f>
        <v>1244943.4917135497</v>
      </c>
      <c r="X33" s="177"/>
      <c r="Y33" s="505">
        <f>SUM(11102+10095+8000)</f>
        <v>29197</v>
      </c>
      <c r="Z33" s="70">
        <f>F33</f>
        <v>1200</v>
      </c>
      <c r="AA33" s="70">
        <f>F33</f>
        <v>1200</v>
      </c>
      <c r="AB33" s="70">
        <f>F33</f>
        <v>1200</v>
      </c>
      <c r="AC33" s="282">
        <f t="shared" ref="AC33:AC43" si="134">SUM(Z33:AB33)</f>
        <v>3600</v>
      </c>
      <c r="AD33" s="74"/>
      <c r="AE33" s="70">
        <f>G33</f>
        <v>1200</v>
      </c>
      <c r="AF33" s="70">
        <f>G33</f>
        <v>1200</v>
      </c>
      <c r="AG33" s="70">
        <f>G33</f>
        <v>1200</v>
      </c>
      <c r="AH33" s="282">
        <f t="shared" ref="AH33:AH46" si="135">SUM(AE33:AG33)</f>
        <v>3600</v>
      </c>
      <c r="AI33" s="74"/>
      <c r="AJ33" s="70">
        <f>H33</f>
        <v>1226.7491306368852</v>
      </c>
      <c r="AK33" s="70">
        <f>H33</f>
        <v>1226.7491306368852</v>
      </c>
      <c r="AL33" s="70">
        <f>H33</f>
        <v>1226.7491306368852</v>
      </c>
      <c r="AM33" s="282">
        <f t="shared" ref="AM33:AM43" si="136">SUM(AJ33:AL33)</f>
        <v>3680.2473919106556</v>
      </c>
      <c r="AN33" s="74"/>
      <c r="AO33" s="70">
        <f>I33</f>
        <v>1327.7069133758084</v>
      </c>
      <c r="AP33" s="70">
        <f>I33</f>
        <v>1327.7069133758084</v>
      </c>
      <c r="AQ33" s="70">
        <f>I33</f>
        <v>1327.7069133758084</v>
      </c>
      <c r="AR33" s="282">
        <f t="shared" ref="AR33:AR43" si="137">SUM(AO33:AQ33)</f>
        <v>3983.1207401274251</v>
      </c>
      <c r="AS33" s="74"/>
      <c r="AT33" s="70">
        <f>K33</f>
        <v>1506.6550876850836</v>
      </c>
      <c r="AU33" s="70">
        <f>K33</f>
        <v>1506.6550876850836</v>
      </c>
      <c r="AV33" s="70">
        <f>K33</f>
        <v>1506.6550876850836</v>
      </c>
      <c r="AW33" s="282">
        <f t="shared" ref="AW33:AW43" si="138">SUM(AT33:AV33)</f>
        <v>4519.9652630552509</v>
      </c>
      <c r="AX33" s="74"/>
      <c r="AY33" s="70">
        <f>L33</f>
        <v>1813.060707937552</v>
      </c>
      <c r="AZ33" s="70">
        <f>L33</f>
        <v>1813.060707937552</v>
      </c>
      <c r="BA33" s="70">
        <f>L33</f>
        <v>1813.060707937552</v>
      </c>
      <c r="BB33" s="282">
        <f t="shared" ref="BB33:BB43" si="139">SUM(AY33:BA33)</f>
        <v>5439.1821238126558</v>
      </c>
      <c r="BC33" s="74"/>
      <c r="BD33" s="70">
        <f>M33</f>
        <v>2284.6869630515398</v>
      </c>
      <c r="BE33" s="70">
        <f>M33</f>
        <v>2284.6869630515398</v>
      </c>
      <c r="BF33" s="70">
        <f>M33</f>
        <v>2284.6869630515398</v>
      </c>
      <c r="BG33" s="282">
        <f t="shared" ref="BG33:BG43" si="140">SUM(BD33:BF33)</f>
        <v>6854.0608891546199</v>
      </c>
      <c r="BH33" s="74"/>
      <c r="BI33" s="70">
        <f>N33</f>
        <v>2987.0608938287705</v>
      </c>
      <c r="BJ33" s="70">
        <f>N33</f>
        <v>2987.0608938287705</v>
      </c>
      <c r="BK33" s="70">
        <f>N33</f>
        <v>2987.0608938287705</v>
      </c>
      <c r="BL33" s="282">
        <f t="shared" ref="BL33:BL43" si="141">SUM(BI33:BK33)</f>
        <v>8961.1826814863125</v>
      </c>
      <c r="BM33" s="74"/>
      <c r="BN33" s="70">
        <f>P33</f>
        <v>4025.8367310635367</v>
      </c>
      <c r="BO33" s="70">
        <f>P33</f>
        <v>4025.8367310635367</v>
      </c>
      <c r="BP33" s="70">
        <f>P33</f>
        <v>4025.8367310635367</v>
      </c>
      <c r="BQ33" s="282">
        <f t="shared" ref="BQ33:BQ43" si="142">SUM(BN33:BP33)</f>
        <v>12077.51019319061</v>
      </c>
      <c r="BR33" s="74"/>
      <c r="BS33" s="70">
        <f>Q33</f>
        <v>5558.0371287080234</v>
      </c>
      <c r="BT33" s="70">
        <f>Q33</f>
        <v>5558.0371287080234</v>
      </c>
      <c r="BU33" s="70">
        <f>Q33</f>
        <v>5558.0371287080234</v>
      </c>
      <c r="BV33" s="282">
        <f t="shared" ref="BV33:BV43" si="143">SUM(BS33:BU33)</f>
        <v>16674.11138612407</v>
      </c>
      <c r="BW33" s="74"/>
      <c r="BX33" s="70">
        <f>R33</f>
        <v>7822.4759636825193</v>
      </c>
      <c r="BY33" s="70">
        <f>R33</f>
        <v>7822.4759636825193</v>
      </c>
      <c r="BZ33" s="70">
        <f>R33</f>
        <v>7822.4759636825193</v>
      </c>
      <c r="CA33" s="282">
        <f t="shared" ref="CA33:CA43" si="144">SUM(BX33:BZ33)</f>
        <v>23467.427891047559</v>
      </c>
      <c r="CB33" s="74"/>
      <c r="CC33" s="70">
        <f>S33</f>
        <v>11186.585189168956</v>
      </c>
      <c r="CD33" s="70">
        <f>S33</f>
        <v>11186.585189168956</v>
      </c>
      <c r="CE33" s="70">
        <f>S33</f>
        <v>11186.585189168956</v>
      </c>
      <c r="CF33" s="282">
        <f t="shared" ref="CF33:CF43" si="145">SUM(CC33:CE33)</f>
        <v>33559.755567506872</v>
      </c>
      <c r="CG33" s="88"/>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1" t="s">
        <v>202</v>
      </c>
      <c r="B34" s="260">
        <v>0.1</v>
      </c>
      <c r="C34" s="293">
        <v>-5.0000000000000001E-3</v>
      </c>
      <c r="D34" s="118"/>
      <c r="E34" s="117"/>
      <c r="F34" s="130">
        <v>20000</v>
      </c>
      <c r="G34" s="131">
        <v>20000</v>
      </c>
      <c r="H34" s="70">
        <f>SUM((IF(ISBLANK(D34),B34,D34)*(H30/3))+(G34))</f>
        <v>20445.818843948087</v>
      </c>
      <c r="I34" s="70">
        <f>SUM(IF(ISBLANK(D34),      (IF((1*(IF(ISBLANK(E34),C34,E34)) + B34) &lt; 0,     0,     (1*(IF(ISBLANK(E34),C34,E34)) + B34)   )),       (IF((1*(IF(ISBLANK(E34),C34,E34)) + D34) &lt; 0,     0,     (1*(IF(ISBLANK(E34),C34,E34)) + D34)   ))  )       *   (I30/3)+(H34))</f>
        <v>22128.448556263473</v>
      </c>
      <c r="J34" s="282">
        <f t="shared" ref="J34:J45" si="146">SUM(AC34+AH34+AM34+AR34)</f>
        <v>247722.8022006347</v>
      </c>
      <c r="K34" s="70">
        <f>SUM(IF(ISBLANK(D34),      (IF((2*(IF(ISBLANK(E34),C34,E34)) + B34) &lt; 0,     0,     (2*(IF(ISBLANK(E34),C34,E34)) + B34)   )),       (IF((2*(IF(ISBLANK(E34),C34,E34)) + D34) &lt; 0,     0,     (2*(IF(ISBLANK(E34),C34,E34)) + D34)   ))  )       *   (K30/3)+(I34))</f>
        <v>25110.918128084726</v>
      </c>
      <c r="L34" s="70">
        <f>SUM(IF(ISBLANK(D34),      (IF((3*(IF(ISBLANK(E34),C34,E34)) + B34) &lt; 0,     0,     (3*(IF(ISBLANK(E34),C34,E34)) + B34)   )),       (IF((3*(IF(ISBLANK(E34),C34,E34)) + D34) &lt; 0,     0,     (3*(IF(ISBLANK(E34),C34,E34)) + D34)   ))  )       *   (L30/3)+(K34))</f>
        <v>30217.678465625868</v>
      </c>
      <c r="M34" s="70">
        <f>SUM(IF(ISBLANK(D34),      (IF((4*(IF(ISBLANK(E34),C34,E34)) + B34) &lt; 0,     0,     (4*(IF(ISBLANK(E34),C34,E34)) + B34)   )),       (IF((4*(IF(ISBLANK(E34),C34,E34)) + D34) &lt; 0,     0,     (4*(IF(ISBLANK(E34),C34,E34)) + D34)   ))  )       *   (M30/3)+(L34))</f>
        <v>38078.116050858996</v>
      </c>
      <c r="N34" s="70">
        <f>SUM(IF(ISBLANK(D34),      (IF((5*(IF(ISBLANK(E34),C34,E34)) + B34) &lt; 0,     0,     (5*(IF(ISBLANK(E34),C34,E34)) + B34)   )),       (IF((5*(IF(ISBLANK(E34),C34,E34)) + D34) &lt; 0,     0,     (5*(IF(ISBLANK(E34),C34,E34)) + D34)   ))  )       *   (N30/3)+(M34))</f>
        <v>49784.348230479511</v>
      </c>
      <c r="O34" s="282">
        <f t="shared" ref="O34:O45" si="147">SUM(AW34+BB34+BG34+BL34)</f>
        <v>429573.18262514728</v>
      </c>
      <c r="P34" s="70">
        <f>SUM(IF(ISBLANK(D34),      (IF((6*(IF(ISBLANK(E34),C34,E34)) + B34) &lt; 0,     0,     (6*(IF(ISBLANK(E34),C34,E34)) + B34)   )),       (IF((6*(IF(ISBLANK(E34),C34,E34)) + D34) &lt; 0,     0,     (6*(IF(ISBLANK(E34),C34,E34)) + D34)   ))  )       *   (P30/3)+(N34))</f>
        <v>67097.278851058945</v>
      </c>
      <c r="Q34" s="70">
        <f>SUM(IF(ISBLANK(D34),      (IF((7*(IF(ISBLANK(E34),C34,E34)) + B34) &lt; 0,     0,     (7*(IF(ISBLANK(E34),C34,E34)) + B34)   )),       (IF((7*(IF(ISBLANK(E34),C34,E34)) + D34) &lt; 0,     0,     (7*(IF(ISBLANK(E34),C34,E34)) + D34)   ))  )       *   (Q30/3)+(P34))</f>
        <v>92633.95214513372</v>
      </c>
      <c r="R34" s="70">
        <f>SUM(IF(ISBLANK(D34),      (IF((8*(IF(ISBLANK(E34),C34,E34)) + B34) &lt; 0,     0,     (8*(IF(ISBLANK(E34),C34,E34)) + B34)   )),       (IF((8*(IF(ISBLANK(E34),C34,E34)) + D34) &lt; 0,     0,     (8*(IF(ISBLANK(E34),C34,E34)) + D34)   ))  )       *   (R30/3)+(Q34))</f>
        <v>130374.59939470865</v>
      </c>
      <c r="S34" s="70">
        <f>SUM(IF(ISBLANK(D34),      (IF((9*(IF(ISBLANK(E34),C34,E34)) + B34) &lt; 0,     0,     (9*(IF(ISBLANK(E34),C34,E34)) + B34)   )),       (IF((9*(IF(ISBLANK(E34),C34,E34)) + D34) &lt; 0,     0,     (9*(IF(ISBLANK(E34),C34,E34)) + D34)   ))  )       *   (S30/3)+(R34))</f>
        <v>186443.08648614929</v>
      </c>
      <c r="T34" s="305">
        <f t="shared" ref="T34:T45" si="148">SUM(BQ34+BV34+CA34+CF34)</f>
        <v>1429646.7506311517</v>
      </c>
      <c r="U34" s="281">
        <f>SUM(IF(ISBLANK(D34),      (IF((10*(IF(ISBLANK(E34),C34,E34)) + B34) &lt; 0,     0,     (10*(IF(ISBLANK(E34),C34,E34)) + B34)   )),       (IF((10*(IF(ISBLANK(E34),C34,E34)) + D34) &lt; 0,     0,     (10*(IF(ISBLANK(E34),C34,E34)) + D34)   ))  )       *   (U30/3)+(S34))*12</f>
        <v>7499657.5066334652</v>
      </c>
      <c r="V34" s="282">
        <f>SUM(IF(ISBLANK(D34),      (IF((11*(IF(ISBLANK(E34),C34,E34)) + B34) &lt; 0,     0,     (11*(IF(ISBLANK(E34),C34,E34)) + B34)   )),       (IF((11*(IF(ISBLANK(E34),C34,E34)) + D34) &lt; 0,     0,     (11*(IF(ISBLANK(E34),C34,E34)) + D34)   ))  )       *   (V30/12)+(U34/12))*12</f>
        <v>11516824.827332828</v>
      </c>
      <c r="W34" s="283">
        <f>SUM(IF(ISBLANK(D34),      (IF((12*(IF(ISBLANK(E34),C34,E34)) + B34) &lt; 0,     0,     (12*(IF(ISBLANK(E34),C34,E34)) + B34)   )),       (IF((12*(IF(ISBLANK(E34),C34,E34)) + D34) &lt; 0,     0,     (12*(IF(ISBLANK(E34),C34,E34)) + D34)   ))  )       *   (W30/12)+(V34/12))*12</f>
        <v>20749058.195225831</v>
      </c>
      <c r="X34" s="177"/>
      <c r="Y34" s="505">
        <f>SUM(30664+342396+71683+36198+34170+34090+28752+50203+25449+25629+23773+25295+25295+20000)</f>
        <v>773597</v>
      </c>
      <c r="Z34" s="70">
        <f t="shared" ref="Z34:Z46" si="149">F34</f>
        <v>20000</v>
      </c>
      <c r="AA34" s="70">
        <f t="shared" ref="AA34:AA46" si="150">F34</f>
        <v>20000</v>
      </c>
      <c r="AB34" s="70">
        <f t="shared" ref="AB34:AB46" si="151">F34</f>
        <v>20000</v>
      </c>
      <c r="AC34" s="282">
        <f t="shared" si="134"/>
        <v>60000</v>
      </c>
      <c r="AD34" s="74"/>
      <c r="AE34" s="70">
        <f t="shared" ref="AE34:AE46" si="152">G34</f>
        <v>20000</v>
      </c>
      <c r="AF34" s="70">
        <f t="shared" ref="AF34:AF46" si="153">G34</f>
        <v>20000</v>
      </c>
      <c r="AG34" s="70">
        <f t="shared" ref="AG34:AG46" si="154">G34</f>
        <v>20000</v>
      </c>
      <c r="AH34" s="282">
        <f t="shared" si="135"/>
        <v>60000</v>
      </c>
      <c r="AI34" s="74"/>
      <c r="AJ34" s="70">
        <f t="shared" ref="AJ34:AJ46" si="155">H34</f>
        <v>20445.818843948087</v>
      </c>
      <c r="AK34" s="70">
        <f t="shared" ref="AK34:AK46" si="156">H34</f>
        <v>20445.818843948087</v>
      </c>
      <c r="AL34" s="70">
        <f t="shared" ref="AL34:AL46" si="157">H34</f>
        <v>20445.818843948087</v>
      </c>
      <c r="AM34" s="282">
        <f t="shared" si="136"/>
        <v>61337.456531844262</v>
      </c>
      <c r="AN34" s="74"/>
      <c r="AO34" s="70">
        <f t="shared" ref="AO34:AO46" si="158">I34</f>
        <v>22128.448556263473</v>
      </c>
      <c r="AP34" s="70">
        <f t="shared" ref="AP34:AP46" si="159">I34</f>
        <v>22128.448556263473</v>
      </c>
      <c r="AQ34" s="70">
        <f t="shared" ref="AQ34:AQ46" si="160">I34</f>
        <v>22128.448556263473</v>
      </c>
      <c r="AR34" s="282">
        <f t="shared" si="137"/>
        <v>66385.345668790425</v>
      </c>
      <c r="AS34" s="74"/>
      <c r="AT34" s="70">
        <f t="shared" ref="AT34:AT46" si="161">K34</f>
        <v>25110.918128084726</v>
      </c>
      <c r="AU34" s="70">
        <f t="shared" ref="AU34:AU46" si="162">K34</f>
        <v>25110.918128084726</v>
      </c>
      <c r="AV34" s="70">
        <f t="shared" ref="AV34:AV46" si="163">K34</f>
        <v>25110.918128084726</v>
      </c>
      <c r="AW34" s="282">
        <f t="shared" si="138"/>
        <v>75332.754384254178</v>
      </c>
      <c r="AX34" s="74"/>
      <c r="AY34" s="70">
        <f t="shared" ref="AY34:AY46" si="164">L34</f>
        <v>30217.678465625868</v>
      </c>
      <c r="AZ34" s="70">
        <f t="shared" ref="AZ34:AZ46" si="165">L34</f>
        <v>30217.678465625868</v>
      </c>
      <c r="BA34" s="70">
        <f t="shared" ref="BA34:BA46" si="166">L34</f>
        <v>30217.678465625868</v>
      </c>
      <c r="BB34" s="282">
        <f t="shared" si="139"/>
        <v>90653.035396877603</v>
      </c>
      <c r="BC34" s="74"/>
      <c r="BD34" s="70">
        <f t="shared" ref="BD34:BD46" si="167">M34</f>
        <v>38078.116050858996</v>
      </c>
      <c r="BE34" s="70">
        <f t="shared" ref="BE34:BE46" si="168">M34</f>
        <v>38078.116050858996</v>
      </c>
      <c r="BF34" s="70">
        <f t="shared" ref="BF34:BF46" si="169">M34</f>
        <v>38078.116050858996</v>
      </c>
      <c r="BG34" s="282">
        <f t="shared" si="140"/>
        <v>114234.34815257699</v>
      </c>
      <c r="BH34" s="74"/>
      <c r="BI34" s="70">
        <f t="shared" ref="BI34:BI46" si="170">N34</f>
        <v>49784.348230479511</v>
      </c>
      <c r="BJ34" s="70">
        <f t="shared" ref="BJ34:BJ46" si="171">N34</f>
        <v>49784.348230479511</v>
      </c>
      <c r="BK34" s="70">
        <f t="shared" ref="BK34:BK46" si="172">N34</f>
        <v>49784.348230479511</v>
      </c>
      <c r="BL34" s="282">
        <f t="shared" si="141"/>
        <v>149353.04469143852</v>
      </c>
      <c r="BM34" s="74"/>
      <c r="BN34" s="70">
        <f t="shared" ref="BN34:BN46" si="173">P34</f>
        <v>67097.278851058945</v>
      </c>
      <c r="BO34" s="70">
        <f t="shared" ref="BO34:BO43" si="174">P34</f>
        <v>67097.278851058945</v>
      </c>
      <c r="BP34" s="70">
        <f t="shared" ref="BP34:BP46" si="175">P34</f>
        <v>67097.278851058945</v>
      </c>
      <c r="BQ34" s="282">
        <f t="shared" si="142"/>
        <v>201291.83655317684</v>
      </c>
      <c r="BR34" s="74"/>
      <c r="BS34" s="70">
        <f t="shared" ref="BS34:BS46" si="176">Q34</f>
        <v>92633.95214513372</v>
      </c>
      <c r="BT34" s="70">
        <f t="shared" ref="BT34:BT46" si="177">Q34</f>
        <v>92633.95214513372</v>
      </c>
      <c r="BU34" s="70">
        <f t="shared" ref="BU34:BU46" si="178">Q34</f>
        <v>92633.95214513372</v>
      </c>
      <c r="BV34" s="282">
        <f t="shared" si="143"/>
        <v>277901.85643540113</v>
      </c>
      <c r="BW34" s="74"/>
      <c r="BX34" s="70">
        <f t="shared" ref="BX34:BX46" si="179">R34</f>
        <v>130374.59939470865</v>
      </c>
      <c r="BY34" s="70">
        <f t="shared" ref="BY34:BY46" si="180">R34</f>
        <v>130374.59939470865</v>
      </c>
      <c r="BZ34" s="70">
        <f t="shared" ref="BZ34:BZ46" si="181">R34</f>
        <v>130374.59939470865</v>
      </c>
      <c r="CA34" s="282">
        <f t="shared" si="144"/>
        <v>391123.79818412598</v>
      </c>
      <c r="CB34" s="74"/>
      <c r="CC34" s="70">
        <f t="shared" ref="CC34:CC46" si="182">S34</f>
        <v>186443.08648614929</v>
      </c>
      <c r="CD34" s="70">
        <f t="shared" ref="CD34:CD46" si="183">S34</f>
        <v>186443.08648614929</v>
      </c>
      <c r="CE34" s="70">
        <f t="shared" ref="CE34:CE46" si="184">S34</f>
        <v>186443.08648614929</v>
      </c>
      <c r="CF34" s="282">
        <f t="shared" si="145"/>
        <v>559329.25945844781</v>
      </c>
      <c r="CG34" s="88"/>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1" t="s">
        <v>203</v>
      </c>
      <c r="B35" s="281">
        <v>0</v>
      </c>
      <c r="C35" s="293">
        <v>0.01</v>
      </c>
      <c r="D35" s="116"/>
      <c r="E35" s="117"/>
      <c r="F35" s="104">
        <f>SUM((IF(ISBLANK(D35),B35,D35))+(F34*(IF(ISBLANK(E35),C35,E35))))</f>
        <v>200</v>
      </c>
      <c r="G35" s="70">
        <f>SUM((IF(ISBLANK(D35),B35,D35))+(G34*(IF(ISBLANK(E35),C35,E35))))</f>
        <v>200</v>
      </c>
      <c r="H35" s="70">
        <f>SUM((IF(ISBLANK(D35),B35,D35))+(H34*(IF(ISBLANK(E35),C35,E35))))</f>
        <v>204.45818843948086</v>
      </c>
      <c r="I35" s="70">
        <f>SUM((IF(ISBLANK(D35),B35,D35))+(I34*(IF(ISBLANK(E35),C35,E35))))</f>
        <v>221.28448556263473</v>
      </c>
      <c r="J35" s="282">
        <f t="shared" si="146"/>
        <v>2477.2280220063467</v>
      </c>
      <c r="K35" s="70">
        <f>SUM((IF(ISBLANK(D35),B35,D35))+(K34*(IF(ISBLANK(E35),C35,E35))))</f>
        <v>251.10918128084725</v>
      </c>
      <c r="L35" s="70">
        <f>SUM((IF(ISBLANK(D35),B35,D35))+(L34*(IF(ISBLANK(E35),C35,E35))))</f>
        <v>302.17678465625869</v>
      </c>
      <c r="M35" s="70">
        <f>SUM((IF(ISBLANK(D35),B35,D35))+(M34*(IF(ISBLANK(E35),C35,E35))))</f>
        <v>380.78116050858995</v>
      </c>
      <c r="N35" s="70">
        <f>SUM((IF(ISBLANK(D35),B35,D35))+(N34*(IF(ISBLANK(E35),C35,E35))))</f>
        <v>497.84348230479515</v>
      </c>
      <c r="O35" s="282">
        <f t="shared" si="147"/>
        <v>4295.7318262514736</v>
      </c>
      <c r="P35" s="70">
        <f>SUM((IF(ISBLANK(D35),B35,D35))+(P34*(IF(ISBLANK(E35),C35,E35))))</f>
        <v>670.97278851058945</v>
      </c>
      <c r="Q35" s="70">
        <f>SUM((IF(ISBLANK(D35),B35,D35))+(Q34*(IF(ISBLANK(E35),C35,E35))))</f>
        <v>926.33952145133719</v>
      </c>
      <c r="R35" s="70">
        <f>SUM((IF(ISBLANK(D35),B35,D35))+(R34*(IF(ISBLANK(E35),C35,E35))))</f>
        <v>1303.7459939470866</v>
      </c>
      <c r="S35" s="70">
        <f>SUM((IF(ISBLANK(D35),B35,D35))+(S34*(IF(ISBLANK(E35),C35,E35))))</f>
        <v>1864.4308648614929</v>
      </c>
      <c r="T35" s="305">
        <f t="shared" si="148"/>
        <v>14296.467506311519</v>
      </c>
      <c r="U35" s="281">
        <f>SUM((IF(ISBLANK(D35),B35,D35))+(U34*(IF(ISBLANK(E35),C35,E35))))</f>
        <v>74996.575066334655</v>
      </c>
      <c r="V35" s="282">
        <f>SUM((IF(ISBLANK(D35),B35,D35))+(V34*(IF(ISBLANK(E35),C35,E35))))</f>
        <v>115168.24827332828</v>
      </c>
      <c r="W35" s="283">
        <f>SUM((IF(ISBLANK(D35),B35,D35))+(W34*(IF(ISBLANK(E35),C35,E35))))</f>
        <v>207490.5819522583</v>
      </c>
      <c r="X35" s="177"/>
      <c r="Y35" s="505">
        <v>4000</v>
      </c>
      <c r="Z35" s="70">
        <f t="shared" si="149"/>
        <v>200</v>
      </c>
      <c r="AA35" s="70">
        <f t="shared" si="150"/>
        <v>200</v>
      </c>
      <c r="AB35" s="70">
        <f t="shared" si="151"/>
        <v>200</v>
      </c>
      <c r="AC35" s="282">
        <f t="shared" si="134"/>
        <v>600</v>
      </c>
      <c r="AD35" s="74"/>
      <c r="AE35" s="70">
        <f t="shared" si="152"/>
        <v>200</v>
      </c>
      <c r="AF35" s="70">
        <f t="shared" si="153"/>
        <v>200</v>
      </c>
      <c r="AG35" s="70">
        <f t="shared" si="154"/>
        <v>200</v>
      </c>
      <c r="AH35" s="282">
        <f t="shared" si="135"/>
        <v>600</v>
      </c>
      <c r="AI35" s="74"/>
      <c r="AJ35" s="70">
        <f t="shared" si="155"/>
        <v>204.45818843948086</v>
      </c>
      <c r="AK35" s="70">
        <f t="shared" si="156"/>
        <v>204.45818843948086</v>
      </c>
      <c r="AL35" s="70">
        <f t="shared" si="157"/>
        <v>204.45818843948086</v>
      </c>
      <c r="AM35" s="282">
        <f t="shared" si="136"/>
        <v>613.37456531844259</v>
      </c>
      <c r="AN35" s="74"/>
      <c r="AO35" s="70">
        <f t="shared" si="158"/>
        <v>221.28448556263473</v>
      </c>
      <c r="AP35" s="70">
        <f t="shared" si="159"/>
        <v>221.28448556263473</v>
      </c>
      <c r="AQ35" s="70">
        <f t="shared" si="160"/>
        <v>221.28448556263473</v>
      </c>
      <c r="AR35" s="282">
        <f t="shared" si="137"/>
        <v>663.85345668790421</v>
      </c>
      <c r="AS35" s="74"/>
      <c r="AT35" s="70">
        <f t="shared" si="161"/>
        <v>251.10918128084725</v>
      </c>
      <c r="AU35" s="70">
        <f t="shared" si="162"/>
        <v>251.10918128084725</v>
      </c>
      <c r="AV35" s="70">
        <f t="shared" si="163"/>
        <v>251.10918128084725</v>
      </c>
      <c r="AW35" s="282">
        <f t="shared" si="138"/>
        <v>753.32754384254179</v>
      </c>
      <c r="AX35" s="74"/>
      <c r="AY35" s="70">
        <f t="shared" si="164"/>
        <v>302.17678465625869</v>
      </c>
      <c r="AZ35" s="70">
        <f t="shared" si="165"/>
        <v>302.17678465625869</v>
      </c>
      <c r="BA35" s="70">
        <f t="shared" si="166"/>
        <v>302.17678465625869</v>
      </c>
      <c r="BB35" s="282">
        <f t="shared" si="139"/>
        <v>906.53035396877613</v>
      </c>
      <c r="BC35" s="74"/>
      <c r="BD35" s="70">
        <f t="shared" si="167"/>
        <v>380.78116050858995</v>
      </c>
      <c r="BE35" s="70">
        <f t="shared" si="168"/>
        <v>380.78116050858995</v>
      </c>
      <c r="BF35" s="70">
        <f t="shared" si="169"/>
        <v>380.78116050858995</v>
      </c>
      <c r="BG35" s="282">
        <f t="shared" si="140"/>
        <v>1142.3434815257699</v>
      </c>
      <c r="BH35" s="74"/>
      <c r="BI35" s="70">
        <f t="shared" si="170"/>
        <v>497.84348230479515</v>
      </c>
      <c r="BJ35" s="70">
        <f t="shared" si="171"/>
        <v>497.84348230479515</v>
      </c>
      <c r="BK35" s="70">
        <f t="shared" si="172"/>
        <v>497.84348230479515</v>
      </c>
      <c r="BL35" s="282">
        <f t="shared" si="141"/>
        <v>1493.5304469143855</v>
      </c>
      <c r="BM35" s="74"/>
      <c r="BN35" s="70">
        <f t="shared" si="173"/>
        <v>670.97278851058945</v>
      </c>
      <c r="BO35" s="70">
        <f t="shared" si="174"/>
        <v>670.97278851058945</v>
      </c>
      <c r="BP35" s="70">
        <f t="shared" si="175"/>
        <v>670.97278851058945</v>
      </c>
      <c r="BQ35" s="282">
        <f t="shared" si="142"/>
        <v>2012.9183655317684</v>
      </c>
      <c r="BR35" s="74"/>
      <c r="BS35" s="70">
        <f t="shared" si="176"/>
        <v>926.33952145133719</v>
      </c>
      <c r="BT35" s="70">
        <f t="shared" si="177"/>
        <v>926.33952145133719</v>
      </c>
      <c r="BU35" s="70">
        <f t="shared" si="178"/>
        <v>926.33952145133719</v>
      </c>
      <c r="BV35" s="282">
        <f t="shared" si="143"/>
        <v>2779.0185643540117</v>
      </c>
      <c r="BW35" s="74"/>
      <c r="BX35" s="70">
        <f t="shared" si="179"/>
        <v>1303.7459939470866</v>
      </c>
      <c r="BY35" s="70">
        <f t="shared" si="180"/>
        <v>1303.7459939470866</v>
      </c>
      <c r="BZ35" s="70">
        <f t="shared" si="181"/>
        <v>1303.7459939470866</v>
      </c>
      <c r="CA35" s="282">
        <f t="shared" si="144"/>
        <v>3911.2379818412601</v>
      </c>
      <c r="CB35" s="74"/>
      <c r="CC35" s="70">
        <f t="shared" si="182"/>
        <v>1864.4308648614929</v>
      </c>
      <c r="CD35" s="70">
        <f t="shared" si="183"/>
        <v>1864.4308648614929</v>
      </c>
      <c r="CE35" s="70">
        <f t="shared" si="184"/>
        <v>1864.4308648614929</v>
      </c>
      <c r="CF35" s="282">
        <f t="shared" si="145"/>
        <v>5593.2925945844781</v>
      </c>
      <c r="CG35" s="88"/>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1" t="s">
        <v>204</v>
      </c>
      <c r="B36" s="281">
        <v>1500</v>
      </c>
      <c r="C36" s="269">
        <v>7.0000000000000007E-2</v>
      </c>
      <c r="D36" s="116"/>
      <c r="E36" s="117"/>
      <c r="F36" s="104">
        <f>SUM((IF(ISBLANK(D36),B36,D36))+(F34*(IF(ISBLANK(E36),C36,E36))))</f>
        <v>2900</v>
      </c>
      <c r="G36" s="70">
        <f>SUM((IF(ISBLANK(D36),B36,D36))+(G34*(IF(ISBLANK(E36),C36,E36))))</f>
        <v>2900</v>
      </c>
      <c r="H36" s="70">
        <f>SUM((IF(ISBLANK(D36),B36,D36))+(H34*(IF(ISBLANK(E36),C36,E36))))</f>
        <v>2931.2073190763663</v>
      </c>
      <c r="I36" s="70">
        <f>SUM((IF(ISBLANK(D36),B36,D36))+(I34*(IF(ISBLANK(E36),C36,E36))))</f>
        <v>3048.9913989384431</v>
      </c>
      <c r="J36" s="282">
        <f t="shared" si="146"/>
        <v>35340.596154044426</v>
      </c>
      <c r="K36" s="70">
        <f>SUM((IF(ISBLANK(D36),B36,D36))+(K34*(IF(ISBLANK(E36),C36,E36))))</f>
        <v>3257.764268965931</v>
      </c>
      <c r="L36" s="70">
        <f>SUM((IF(ISBLANK(D36),B36,D36))+(L34*(IF(ISBLANK(E36),C36,E36))))</f>
        <v>3615.2374925938111</v>
      </c>
      <c r="M36" s="70">
        <f>SUM((IF(ISBLANK(D36),B36,D36))+(M34*(IF(ISBLANK(E36),C36,E36))))</f>
        <v>4165.4681235601302</v>
      </c>
      <c r="N36" s="70">
        <f>SUM((IF(ISBLANK(D36),B36,D36))+(N34*(IF(ISBLANK(E36),C36,E36))))</f>
        <v>4984.9043761335661</v>
      </c>
      <c r="O36" s="282">
        <f t="shared" si="147"/>
        <v>48070.122783760315</v>
      </c>
      <c r="P36" s="70">
        <f>SUM((IF(ISBLANK(D36),B36,D36))+(P34*(IF(ISBLANK(E36),C36,E36))))</f>
        <v>6196.8095195741262</v>
      </c>
      <c r="Q36" s="70">
        <f>SUM((IF(ISBLANK(D36),B36,D36))+(Q34*(IF(ISBLANK(E36),C36,E36))))</f>
        <v>7984.3766501593609</v>
      </c>
      <c r="R36" s="70">
        <f>SUM((IF(ISBLANK(D36),B36,D36))+(R34*(IF(ISBLANK(E36),C36,E36))))</f>
        <v>10626.221957629607</v>
      </c>
      <c r="S36" s="70">
        <f>SUM((IF(ISBLANK(D36),B36,D36))+(S34*(IF(ISBLANK(E36),C36,E36))))</f>
        <v>14551.016054030451</v>
      </c>
      <c r="T36" s="305">
        <f t="shared" si="148"/>
        <v>118075.27254418063</v>
      </c>
      <c r="U36" s="281">
        <f>SUM((IF(ISBLANK(D36),B36,D36))+(U34*(IF(ISBLANK(E36),C36,E36))))</f>
        <v>526476.02546434256</v>
      </c>
      <c r="V36" s="282">
        <f>SUM((IF(ISBLANK(D36),B36,D36))+(V34*(IF(ISBLANK(E36),C36,E36))))</f>
        <v>807677.73791329807</v>
      </c>
      <c r="W36" s="283">
        <f>SUM((IF(ISBLANK(D36),B36,D36))+(W34*(IF(ISBLANK(E36),C36,E36))))</f>
        <v>1453934.0736658084</v>
      </c>
      <c r="X36" s="177"/>
      <c r="Y36" s="505">
        <f>SUM(3832+10734+12859+20000)</f>
        <v>47425</v>
      </c>
      <c r="Z36" s="70">
        <f t="shared" si="149"/>
        <v>2900</v>
      </c>
      <c r="AA36" s="70">
        <f t="shared" si="150"/>
        <v>2900</v>
      </c>
      <c r="AB36" s="70">
        <f t="shared" si="151"/>
        <v>2900</v>
      </c>
      <c r="AC36" s="282">
        <f t="shared" si="134"/>
        <v>8700</v>
      </c>
      <c r="AD36" s="74"/>
      <c r="AE36" s="70">
        <f t="shared" si="152"/>
        <v>2900</v>
      </c>
      <c r="AF36" s="70">
        <f t="shared" si="153"/>
        <v>2900</v>
      </c>
      <c r="AG36" s="70">
        <f t="shared" si="154"/>
        <v>2900</v>
      </c>
      <c r="AH36" s="282">
        <f t="shared" si="135"/>
        <v>8700</v>
      </c>
      <c r="AI36" s="74"/>
      <c r="AJ36" s="70">
        <f t="shared" si="155"/>
        <v>2931.2073190763663</v>
      </c>
      <c r="AK36" s="70">
        <f t="shared" si="156"/>
        <v>2931.2073190763663</v>
      </c>
      <c r="AL36" s="70">
        <f t="shared" si="157"/>
        <v>2931.2073190763663</v>
      </c>
      <c r="AM36" s="282">
        <f t="shared" si="136"/>
        <v>8793.6219572290993</v>
      </c>
      <c r="AN36" s="74"/>
      <c r="AO36" s="70">
        <f t="shared" si="158"/>
        <v>3048.9913989384431</v>
      </c>
      <c r="AP36" s="70">
        <f t="shared" si="159"/>
        <v>3048.9913989384431</v>
      </c>
      <c r="AQ36" s="70">
        <f t="shared" si="160"/>
        <v>3048.9913989384431</v>
      </c>
      <c r="AR36" s="282">
        <f t="shared" si="137"/>
        <v>9146.9741968153285</v>
      </c>
      <c r="AS36" s="74"/>
      <c r="AT36" s="70">
        <f t="shared" si="161"/>
        <v>3257.764268965931</v>
      </c>
      <c r="AU36" s="70">
        <f t="shared" si="162"/>
        <v>3257.764268965931</v>
      </c>
      <c r="AV36" s="70">
        <f t="shared" si="163"/>
        <v>3257.764268965931</v>
      </c>
      <c r="AW36" s="282">
        <f t="shared" si="138"/>
        <v>9773.2928068977926</v>
      </c>
      <c r="AX36" s="74"/>
      <c r="AY36" s="70">
        <f t="shared" si="164"/>
        <v>3615.2374925938111</v>
      </c>
      <c r="AZ36" s="70">
        <f>L36</f>
        <v>3615.2374925938111</v>
      </c>
      <c r="BA36" s="70">
        <f t="shared" si="166"/>
        <v>3615.2374925938111</v>
      </c>
      <c r="BB36" s="282">
        <f t="shared" si="139"/>
        <v>10845.712477781433</v>
      </c>
      <c r="BC36" s="74"/>
      <c r="BD36" s="70">
        <f t="shared" si="167"/>
        <v>4165.4681235601302</v>
      </c>
      <c r="BE36" s="70">
        <f t="shared" si="168"/>
        <v>4165.4681235601302</v>
      </c>
      <c r="BF36" s="70">
        <f t="shared" si="169"/>
        <v>4165.4681235601302</v>
      </c>
      <c r="BG36" s="282">
        <f t="shared" si="140"/>
        <v>12496.40437068039</v>
      </c>
      <c r="BH36" s="74"/>
      <c r="BI36" s="70">
        <f t="shared" si="170"/>
        <v>4984.9043761335661</v>
      </c>
      <c r="BJ36" s="70">
        <f t="shared" si="171"/>
        <v>4984.9043761335661</v>
      </c>
      <c r="BK36" s="70">
        <f t="shared" si="172"/>
        <v>4984.9043761335661</v>
      </c>
      <c r="BL36" s="282">
        <f t="shared" si="141"/>
        <v>14954.713128400697</v>
      </c>
      <c r="BM36" s="74"/>
      <c r="BN36" s="70">
        <f t="shared" si="173"/>
        <v>6196.8095195741262</v>
      </c>
      <c r="BO36" s="70">
        <f t="shared" si="174"/>
        <v>6196.8095195741262</v>
      </c>
      <c r="BP36" s="70">
        <f t="shared" si="175"/>
        <v>6196.8095195741262</v>
      </c>
      <c r="BQ36" s="282">
        <f t="shared" si="142"/>
        <v>18590.428558722379</v>
      </c>
      <c r="BR36" s="74"/>
      <c r="BS36" s="70">
        <f t="shared" si="176"/>
        <v>7984.3766501593609</v>
      </c>
      <c r="BT36" s="70">
        <f t="shared" si="177"/>
        <v>7984.3766501593609</v>
      </c>
      <c r="BU36" s="70">
        <f t="shared" si="178"/>
        <v>7984.3766501593609</v>
      </c>
      <c r="BV36" s="282">
        <f t="shared" si="143"/>
        <v>23953.129950478084</v>
      </c>
      <c r="BW36" s="74"/>
      <c r="BX36" s="70">
        <f t="shared" si="179"/>
        <v>10626.221957629607</v>
      </c>
      <c r="BY36" s="70">
        <f t="shared" si="180"/>
        <v>10626.221957629607</v>
      </c>
      <c r="BZ36" s="70">
        <f t="shared" si="181"/>
        <v>10626.221957629607</v>
      </c>
      <c r="CA36" s="282">
        <f t="shared" si="144"/>
        <v>31878.665872888821</v>
      </c>
      <c r="CB36" s="74"/>
      <c r="CC36" s="70">
        <f t="shared" si="182"/>
        <v>14551.016054030451</v>
      </c>
      <c r="CD36" s="70">
        <f t="shared" si="183"/>
        <v>14551.016054030451</v>
      </c>
      <c r="CE36" s="70">
        <f t="shared" si="184"/>
        <v>14551.016054030451</v>
      </c>
      <c r="CF36" s="282">
        <f t="shared" si="145"/>
        <v>43653.048162091356</v>
      </c>
      <c r="CG36" s="88"/>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1" t="s">
        <v>205</v>
      </c>
      <c r="B37" s="260">
        <v>0.3</v>
      </c>
      <c r="C37" s="293">
        <v>-1.4999999999999999E-2</v>
      </c>
      <c r="D37" s="118"/>
      <c r="E37" s="117"/>
      <c r="F37" s="104">
        <f>SUM((IF(AC21*((0*(IF(ISBLANK(E37),C37,E37)))+IF(ISBLANK(D37),B37,D37)) &lt; 0, 0, (AC21*((0*(IF(ISBLANK(E37),C37,E37)))+IF(ISBLANK(D37),B37,D37)))))/3)</f>
        <v>0</v>
      </c>
      <c r="G37" s="70">
        <f>SUM((IF(AH21*((0*(IF(ISBLANK(E37),C37,E37)))+IF(ISBLANK(D37),B37,D37)) &lt; 0, 0, (AH21*((0*(IF(ISBLANK(E37),C37,E37)))+IF(ISBLANK(D37),B37,D37)))))/3)</f>
        <v>0</v>
      </c>
      <c r="H37" s="70">
        <f>SUM((IF(AM21*((0*(IF(ISBLANK(E37),C37,E37)))+IF(ISBLANK(D37),B37,D37)) &lt; 0, 0, (AM21*((0*(IF(ISBLANK(E37),C37,E37)))+IF(ISBLANK(D37),B37,D37)))))/3)</f>
        <v>1337.4565318442658</v>
      </c>
      <c r="I37" s="70">
        <f>SUM((IF(AR21*((1*(IF(ISBLANK(E37),C37,E37)))+IF(ISBLANK(D37),B37,D37)) &lt; 0, 0, (AR21*((1*(IF(ISBLANK(E37),C37,E37)))+IF(ISBLANK(D37),B37,D37)))))/3)</f>
        <v>2979.0821136075642</v>
      </c>
      <c r="J37" s="282">
        <f t="shared" si="146"/>
        <v>12949.615936355491</v>
      </c>
      <c r="K37" s="70">
        <f>SUM((IF(AW21*((2*(IF(ISBLANK(E37),C37,E37)))+IF(ISBLANK(D37),B37,D37)) &lt; 0, 0, (AW21*((2*(IF(ISBLANK(E37),C37,E37)))+IF(ISBLANK(D37),B37,D37)))))/3)</f>
        <v>4756.850203157951</v>
      </c>
      <c r="L37" s="70">
        <f>SUM((IF(BB21*((3*(IF(ISBLANK(E37),C37,E37)))+IF(ISBLANK(D37),B37,D37)) &lt; 0, 0, (BB21*((3*(IF(ISBLANK(E37),C37,E37)))+IF(ISBLANK(D37),B37,D37)))))/3)</f>
        <v>6872.649426223591</v>
      </c>
      <c r="M37" s="70">
        <f>SUM((IF(BG21*((4*(IF(ISBLANK(E37),C37,E37)))+IF(ISBLANK(D37),B37,D37)) &lt; 0, 0, (BG21*((4*(IF(ISBLANK(E37),C37,E37)))+IF(ISBLANK(D37),B37,D37)))))/3)</f>
        <v>9432.5251022797511</v>
      </c>
      <c r="N37" s="70">
        <f>SUM((IF(BL21*((5*(IF(ISBLANK(E37),C37,E37)))+IF(ISBLANK(D37),B37,D37)) &lt; 0, 0, (BL21*((5*(IF(ISBLANK(E37),C37,E37)))+IF(ISBLANK(D37),B37,D37)))))/3)</f>
        <v>12927.127560317133</v>
      </c>
      <c r="O37" s="282">
        <f t="shared" si="147"/>
        <v>101967.45687593528</v>
      </c>
      <c r="P37" s="70">
        <f>SUM((IF(BQ21*((6*(IF(ISBLANK(E37),C37,E37)))+IF(ISBLANK(D37),B37,D37)) &lt; 0, 0, (BQ21*((6*(IF(ISBLANK(E37),C37,E37)))+IF(ISBLANK(D37),B37,D37)))))/3)</f>
        <v>17947.435931281296</v>
      </c>
      <c r="Q37" s="70">
        <f>SUM((IF(BV21*((7*(IF(ISBLANK(E37),C37,E37)))+IF(ISBLANK(D37),B37,D37)) &lt; 0, 0, (BV21*((7*(IF(ISBLANK(E37),C37,E37)))+IF(ISBLANK(D37),B37,D37)))))/3)</f>
        <v>25186.855851690187</v>
      </c>
      <c r="R37" s="70">
        <f>SUM((IF(CA21*((8*(IF(ISBLANK(E37),C37,E37)))+IF(ISBLANK(D37),B37,D37)) &lt; 0, 0, (CA21*((8*(IF(ISBLANK(E37),C37,E37)))+IF(ISBLANK(D37),B37,D37)))))/3)</f>
        <v>35754.297394334142</v>
      </c>
      <c r="S37" s="70">
        <f>SUM((IF(CF21*((9*(IF(ISBLANK(E37),C37,E37)))+IF(ISBLANK(D37),B37,D37)) &lt; 0, 0, (CF21*((9*(IF(ISBLANK(E37),C37,E37)))+IF(ISBLANK(D37),B37,D37)))))/3)</f>
        <v>51379.122716520149</v>
      </c>
      <c r="T37" s="305">
        <f t="shared" si="148"/>
        <v>390803.13568147732</v>
      </c>
      <c r="U37" s="281">
        <f>SUM((IF((U21*U18)*((10*(IF(ISBLANK(E37),C37,E37)))+IF(ISBLANK(D37),B37,D37)) &lt; 0, 0, ((U21*U18)*((10*(IF(ISBLANK(E37),C37,E37)))+IF(ISBLANK(D37),B37,D37))))))</f>
        <v>1571383.1749834095</v>
      </c>
      <c r="V37" s="282">
        <f>SUM((IF((V21*V18)*((10*(IF(ISBLANK(E37),C37,E37)))+IF(ISBLANK(D37),B37,D37)) &lt; 0, 0, ((V21*V18)*((10*(IF(ISBLANK(E37),C37,E37)))+IF(ISBLANK(D37),B37,D37))))))</f>
        <v>5705993.5945610851</v>
      </c>
      <c r="W37" s="283">
        <f>SUM((IF((W21*W18)*((10*(IF(ISBLANK(E37),C37,E37)))+IF(ISBLANK(D37),B37,D37)) &lt; 0, 0, ((W21*W18)*((10*(IF(ISBLANK(E37),C37,E37)))+IF(ISBLANK(D37),B37,D37))))))</f>
        <v>12416237.435672857</v>
      </c>
      <c r="X37" s="177"/>
      <c r="Y37" s="505">
        <v>0</v>
      </c>
      <c r="Z37" s="70">
        <f t="shared" si="149"/>
        <v>0</v>
      </c>
      <c r="AA37" s="70">
        <f t="shared" si="150"/>
        <v>0</v>
      </c>
      <c r="AB37" s="70">
        <f t="shared" si="151"/>
        <v>0</v>
      </c>
      <c r="AC37" s="282">
        <f>SUM(Z37:AB37)</f>
        <v>0</v>
      </c>
      <c r="AD37" s="74"/>
      <c r="AE37" s="70">
        <f t="shared" si="152"/>
        <v>0</v>
      </c>
      <c r="AF37" s="70">
        <f t="shared" si="153"/>
        <v>0</v>
      </c>
      <c r="AG37" s="70">
        <f t="shared" si="154"/>
        <v>0</v>
      </c>
      <c r="AH37" s="282">
        <f>SUM(AE37:AG37)</f>
        <v>0</v>
      </c>
      <c r="AI37" s="74"/>
      <c r="AJ37" s="70">
        <f t="shared" si="155"/>
        <v>1337.4565318442658</v>
      </c>
      <c r="AK37" s="70">
        <f t="shared" si="156"/>
        <v>1337.4565318442658</v>
      </c>
      <c r="AL37" s="70">
        <f t="shared" si="157"/>
        <v>1337.4565318442658</v>
      </c>
      <c r="AM37" s="282">
        <f>SUM(AJ37:AL37)</f>
        <v>4012.3695955327976</v>
      </c>
      <c r="AN37" s="74"/>
      <c r="AO37" s="70">
        <f t="shared" si="158"/>
        <v>2979.0821136075642</v>
      </c>
      <c r="AP37" s="70">
        <f t="shared" si="159"/>
        <v>2979.0821136075642</v>
      </c>
      <c r="AQ37" s="70">
        <f t="shared" si="160"/>
        <v>2979.0821136075642</v>
      </c>
      <c r="AR37" s="282">
        <f>SUM(AO37:AQ37)</f>
        <v>8937.2463408226922</v>
      </c>
      <c r="AS37" s="74"/>
      <c r="AT37" s="70">
        <f t="shared" si="161"/>
        <v>4756.850203157951</v>
      </c>
      <c r="AU37" s="70">
        <f t="shared" si="162"/>
        <v>4756.850203157951</v>
      </c>
      <c r="AV37" s="70">
        <f t="shared" si="163"/>
        <v>4756.850203157951</v>
      </c>
      <c r="AW37" s="282">
        <f>SUM(AT37:AV37)</f>
        <v>14270.550609473852</v>
      </c>
      <c r="AX37" s="74"/>
      <c r="AY37" s="70">
        <f t="shared" si="164"/>
        <v>6872.649426223591</v>
      </c>
      <c r="AZ37" s="70">
        <f>L37</f>
        <v>6872.649426223591</v>
      </c>
      <c r="BA37" s="70">
        <f t="shared" si="166"/>
        <v>6872.649426223591</v>
      </c>
      <c r="BB37" s="282">
        <f>SUM(AY37:BA37)</f>
        <v>20617.948278670774</v>
      </c>
      <c r="BC37" s="74"/>
      <c r="BD37" s="70">
        <f t="shared" si="167"/>
        <v>9432.5251022797511</v>
      </c>
      <c r="BE37" s="70">
        <f t="shared" si="168"/>
        <v>9432.5251022797511</v>
      </c>
      <c r="BF37" s="70">
        <f t="shared" si="169"/>
        <v>9432.5251022797511</v>
      </c>
      <c r="BG37" s="282">
        <f>SUM(BD37:BF37)</f>
        <v>28297.575306839251</v>
      </c>
      <c r="BH37" s="74"/>
      <c r="BI37" s="70">
        <f t="shared" si="170"/>
        <v>12927.127560317133</v>
      </c>
      <c r="BJ37" s="70">
        <f t="shared" si="171"/>
        <v>12927.127560317133</v>
      </c>
      <c r="BK37" s="70">
        <f t="shared" si="172"/>
        <v>12927.127560317133</v>
      </c>
      <c r="BL37" s="282">
        <f>SUM(BI37:BK37)</f>
        <v>38781.382680951399</v>
      </c>
      <c r="BM37" s="74"/>
      <c r="BN37" s="70">
        <f t="shared" si="173"/>
        <v>17947.435931281296</v>
      </c>
      <c r="BO37" s="70">
        <f t="shared" si="174"/>
        <v>17947.435931281296</v>
      </c>
      <c r="BP37" s="70">
        <f t="shared" si="175"/>
        <v>17947.435931281296</v>
      </c>
      <c r="BQ37" s="282">
        <f>SUM(BN37:BP37)</f>
        <v>53842.307793843887</v>
      </c>
      <c r="BR37" s="74"/>
      <c r="BS37" s="70">
        <f t="shared" si="176"/>
        <v>25186.855851690187</v>
      </c>
      <c r="BT37" s="70">
        <f t="shared" si="177"/>
        <v>25186.855851690187</v>
      </c>
      <c r="BU37" s="70">
        <f t="shared" si="178"/>
        <v>25186.855851690187</v>
      </c>
      <c r="BV37" s="282">
        <f>SUM(BS37:BU37)</f>
        <v>75560.567555070564</v>
      </c>
      <c r="BW37" s="74"/>
      <c r="BX37" s="70">
        <f t="shared" si="179"/>
        <v>35754.297394334142</v>
      </c>
      <c r="BY37" s="70">
        <f t="shared" si="180"/>
        <v>35754.297394334142</v>
      </c>
      <c r="BZ37" s="70">
        <f t="shared" si="181"/>
        <v>35754.297394334142</v>
      </c>
      <c r="CA37" s="282">
        <f>SUM(BX37:BZ37)</f>
        <v>107262.89218300243</v>
      </c>
      <c r="CB37" s="74"/>
      <c r="CC37" s="70">
        <f t="shared" si="182"/>
        <v>51379.122716520149</v>
      </c>
      <c r="CD37" s="70">
        <f t="shared" si="183"/>
        <v>51379.122716520149</v>
      </c>
      <c r="CE37" s="70">
        <f t="shared" si="184"/>
        <v>51379.122716520149</v>
      </c>
      <c r="CF37" s="282">
        <f>SUM(CC37:CE37)</f>
        <v>154137.36814956044</v>
      </c>
      <c r="CG37" s="88"/>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1" t="s">
        <v>206</v>
      </c>
      <c r="B38" s="281">
        <v>2000</v>
      </c>
      <c r="C38" s="305">
        <v>5000</v>
      </c>
      <c r="D38" s="116"/>
      <c r="E38" s="119"/>
      <c r="F38" s="104">
        <f>SUM((IF(ISBLANK(D38),B38,D38)))</f>
        <v>2000</v>
      </c>
      <c r="G38" s="70">
        <f>SUM((IF(ISBLANK(D38),B38,D38)))</f>
        <v>2000</v>
      </c>
      <c r="H38" s="70">
        <f>SUM((IF(ISBLANK(D38),B38,D38)))</f>
        <v>2000</v>
      </c>
      <c r="I38" s="70">
        <f>SUM((IF(ISBLANK(D38),B38,D38)))</f>
        <v>2000</v>
      </c>
      <c r="J38" s="282">
        <f t="shared" si="146"/>
        <v>24000</v>
      </c>
      <c r="K38" s="70">
        <f>SUM((IF(ISBLANK(D38),B38,D38))+(IF(ISBLANK(E38),C38,E38)))</f>
        <v>7000</v>
      </c>
      <c r="L38" s="70">
        <f>SUM((IF(ISBLANK(D38),B38,D38))+(IF(ISBLANK(E38),C38,E38)))</f>
        <v>7000</v>
      </c>
      <c r="M38" s="70">
        <f>SUM((IF(ISBLANK(D38),B38,D38))+(IF(ISBLANK(E38),C38,E38)))</f>
        <v>7000</v>
      </c>
      <c r="N38" s="70">
        <f>SUM((IF(ISBLANK(D38),B38,D38))+(IF(ISBLANK(E38),C38,E38)))</f>
        <v>7000</v>
      </c>
      <c r="O38" s="282">
        <f t="shared" si="147"/>
        <v>84000</v>
      </c>
      <c r="P38" s="70">
        <f>SUM((IF(ISBLANK(D38),B38,D38))+(IF(ISBLANK(E38),C38,E38)))</f>
        <v>7000</v>
      </c>
      <c r="Q38" s="70">
        <f>SUM((IF(ISBLANK(D38),B38,D38))+(IF(ISBLANK(E38),C38,E38)))</f>
        <v>7000</v>
      </c>
      <c r="R38" s="70">
        <f>SUM((IF(ISBLANK(D38),B38,D38))+(IF(ISBLANK(E38),C38,E38)))</f>
        <v>7000</v>
      </c>
      <c r="S38" s="70">
        <f>SUM((IF(ISBLANK(D38),B38,D38))+(IF(ISBLANK(E38),C38,E38)))</f>
        <v>7000</v>
      </c>
      <c r="T38" s="305">
        <f t="shared" si="148"/>
        <v>84000</v>
      </c>
      <c r="U38" s="281">
        <f>SUM(S38*12)</f>
        <v>84000</v>
      </c>
      <c r="V38" s="282">
        <f>SUM(S38*12)</f>
        <v>84000</v>
      </c>
      <c r="W38" s="283">
        <f>SUM(S38*12)</f>
        <v>84000</v>
      </c>
      <c r="X38" s="177"/>
      <c r="Y38" s="505">
        <v>45000</v>
      </c>
      <c r="Z38" s="70">
        <f t="shared" si="149"/>
        <v>2000</v>
      </c>
      <c r="AA38" s="70">
        <f t="shared" si="150"/>
        <v>2000</v>
      </c>
      <c r="AB38" s="70">
        <f t="shared" si="151"/>
        <v>2000</v>
      </c>
      <c r="AC38" s="282">
        <f t="shared" si="134"/>
        <v>6000</v>
      </c>
      <c r="AD38" s="74"/>
      <c r="AE38" s="70">
        <f t="shared" si="152"/>
        <v>2000</v>
      </c>
      <c r="AF38" s="70">
        <f t="shared" si="153"/>
        <v>2000</v>
      </c>
      <c r="AG38" s="70">
        <f t="shared" si="154"/>
        <v>2000</v>
      </c>
      <c r="AH38" s="282">
        <f t="shared" si="135"/>
        <v>6000</v>
      </c>
      <c r="AI38" s="74"/>
      <c r="AJ38" s="70">
        <f t="shared" si="155"/>
        <v>2000</v>
      </c>
      <c r="AK38" s="70">
        <f t="shared" si="156"/>
        <v>2000</v>
      </c>
      <c r="AL38" s="70">
        <f t="shared" si="157"/>
        <v>2000</v>
      </c>
      <c r="AM38" s="282">
        <f t="shared" si="136"/>
        <v>6000</v>
      </c>
      <c r="AN38" s="74"/>
      <c r="AO38" s="70">
        <f t="shared" si="158"/>
        <v>2000</v>
      </c>
      <c r="AP38" s="70">
        <f t="shared" si="159"/>
        <v>2000</v>
      </c>
      <c r="AQ38" s="70">
        <f t="shared" si="160"/>
        <v>2000</v>
      </c>
      <c r="AR38" s="282">
        <f t="shared" si="137"/>
        <v>6000</v>
      </c>
      <c r="AS38" s="74"/>
      <c r="AT38" s="70">
        <f t="shared" si="161"/>
        <v>7000</v>
      </c>
      <c r="AU38" s="70">
        <f t="shared" si="162"/>
        <v>7000</v>
      </c>
      <c r="AV38" s="70">
        <f t="shared" si="163"/>
        <v>7000</v>
      </c>
      <c r="AW38" s="282">
        <f t="shared" si="138"/>
        <v>21000</v>
      </c>
      <c r="AX38" s="74"/>
      <c r="AY38" s="70">
        <f t="shared" si="164"/>
        <v>7000</v>
      </c>
      <c r="AZ38" s="70">
        <f t="shared" si="165"/>
        <v>7000</v>
      </c>
      <c r="BA38" s="70">
        <f t="shared" si="166"/>
        <v>7000</v>
      </c>
      <c r="BB38" s="282">
        <f t="shared" si="139"/>
        <v>21000</v>
      </c>
      <c r="BC38" s="74"/>
      <c r="BD38" s="70">
        <f t="shared" si="167"/>
        <v>7000</v>
      </c>
      <c r="BE38" s="70">
        <f t="shared" si="168"/>
        <v>7000</v>
      </c>
      <c r="BF38" s="70">
        <f t="shared" si="169"/>
        <v>7000</v>
      </c>
      <c r="BG38" s="282">
        <f t="shared" si="140"/>
        <v>21000</v>
      </c>
      <c r="BH38" s="74"/>
      <c r="BI38" s="70">
        <f t="shared" si="170"/>
        <v>7000</v>
      </c>
      <c r="BJ38" s="70">
        <f t="shared" si="171"/>
        <v>7000</v>
      </c>
      <c r="BK38" s="70">
        <f t="shared" si="172"/>
        <v>7000</v>
      </c>
      <c r="BL38" s="282">
        <f t="shared" si="141"/>
        <v>21000</v>
      </c>
      <c r="BM38" s="74"/>
      <c r="BN38" s="70">
        <f t="shared" si="173"/>
        <v>7000</v>
      </c>
      <c r="BO38" s="70">
        <f t="shared" si="174"/>
        <v>7000</v>
      </c>
      <c r="BP38" s="70">
        <f t="shared" si="175"/>
        <v>7000</v>
      </c>
      <c r="BQ38" s="282">
        <f t="shared" si="142"/>
        <v>21000</v>
      </c>
      <c r="BR38" s="74"/>
      <c r="BS38" s="70">
        <f t="shared" si="176"/>
        <v>7000</v>
      </c>
      <c r="BT38" s="70">
        <f t="shared" si="177"/>
        <v>7000</v>
      </c>
      <c r="BU38" s="70">
        <f t="shared" si="178"/>
        <v>7000</v>
      </c>
      <c r="BV38" s="282">
        <f t="shared" si="143"/>
        <v>21000</v>
      </c>
      <c r="BW38" s="74"/>
      <c r="BX38" s="70">
        <f t="shared" si="179"/>
        <v>7000</v>
      </c>
      <c r="BY38" s="70">
        <f t="shared" si="180"/>
        <v>7000</v>
      </c>
      <c r="BZ38" s="70">
        <f t="shared" si="181"/>
        <v>7000</v>
      </c>
      <c r="CA38" s="282">
        <f t="shared" si="144"/>
        <v>21000</v>
      </c>
      <c r="CB38" s="74"/>
      <c r="CC38" s="70">
        <f t="shared" si="182"/>
        <v>7000</v>
      </c>
      <c r="CD38" s="70">
        <f t="shared" si="183"/>
        <v>7000</v>
      </c>
      <c r="CE38" s="70">
        <f t="shared" si="184"/>
        <v>7000</v>
      </c>
      <c r="CF38" s="282">
        <f t="shared" si="145"/>
        <v>21000</v>
      </c>
      <c r="CG38" s="88"/>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1" t="s">
        <v>271</v>
      </c>
      <c r="B39" s="260">
        <v>0.2</v>
      </c>
      <c r="C39" s="293">
        <v>0</v>
      </c>
      <c r="D39" s="118"/>
      <c r="E39" s="117"/>
      <c r="F39" s="130">
        <v>0</v>
      </c>
      <c r="G39" s="70">
        <f>IF(IF(F30&gt;0,F30*((0*(IF(ISBLANK(E39),C39,E39)))+(IF(ISBLANK(D39),B39,D39))),0)&lt;0,0,IF(F30&gt;0,F30*((0*(IF(ISBLANK(E39),C39,E39)))+(IF(ISBLANK(D39),B39,D39))),0))/3</f>
        <v>0</v>
      </c>
      <c r="H39" s="70">
        <f>IF(IF(G30&gt;0,G30*((0*(IF(ISBLANK(E39),C39,E39)))+(IF(ISBLANK(D39),B39,D39))),0)&lt;0,0,IF(G30&gt;0,G30*((0*(IF(ISBLANK(E39),C39,E39)))+(IF(ISBLANK(D39),B39,D39))),0))/3</f>
        <v>0</v>
      </c>
      <c r="I39" s="70">
        <f>IF(IF(H30&gt;0,H30*((1*(IF(ISBLANK(E39),C39,E39)))+(IF(ISBLANK(D39),B39,D39))),0)&lt;0,0,IF(H30&gt;0,H30*((1*(IF(ISBLANK(E39),C39,E39)))+(IF(ISBLANK(D39),B39,D39))),0))/3</f>
        <v>891.63768789617734</v>
      </c>
      <c r="J39" s="282">
        <f t="shared" si="146"/>
        <v>2674.913063688532</v>
      </c>
      <c r="K39" s="70">
        <f>IF(IF(I30&gt;0,I30*((2*(IF(ISBLANK(E39),C39,E39)))+(IF(ISBLANK(D39),B39,D39))),0)&lt;0,0,IF(I30&gt;0,I30*((2*(IF(ISBLANK(E39),C39,E39)))+(IF(ISBLANK(D39),B39,D39))),0))/3</f>
        <v>3542.3783417165973</v>
      </c>
      <c r="L39" s="70">
        <f>IF(IF(K30&gt;0,K30*((3*(IF(ISBLANK(E39),C39,E39)))+(IF(ISBLANK(D39),B39,D39))),0)&lt;0,0,IF(K30&gt;0,K30*((3*(IF(ISBLANK(E39),C39,E39)))+(IF(ISBLANK(D39),B39,D39))),0))/3</f>
        <v>6627.7101596027896</v>
      </c>
      <c r="M39" s="70">
        <f>IF(IF(L30&gt;0,L30*((4*(IF(ISBLANK(E39),C39,E39)))+(IF(ISBLANK(D39),B39,D39))),0)&lt;0,0,IF(L30&gt;0,L30*((4*(IF(ISBLANK(E39),C39,E39)))+(IF(ISBLANK(D39),B39,D39))),0))/3</f>
        <v>12015.906676567392</v>
      </c>
      <c r="N39" s="70">
        <f>IF(IF(M30&gt;0,M30*((5*(IF(ISBLANK(E39),C39,E39)))+(IF(ISBLANK(D39),B39,D39))),0)&lt;0,0,IF(M30&gt;0,M30*((5*(IF(ISBLANK(E39),C39,E39)))+(IF(ISBLANK(D39),B39,D39))),0))/3</f>
        <v>19651.093963082818</v>
      </c>
      <c r="O39" s="282">
        <f t="shared" si="147"/>
        <v>125511.26742290879</v>
      </c>
      <c r="P39" s="70">
        <f>IF(IF(N30&gt;0,N30*((6*(IF(ISBLANK(E39),C39,E39)))+(IF(ISBLANK(D39),B39,D39))),0)&lt;0,0,IF(N30&gt;0,N30*((6*(IF(ISBLANK(E39),C39,E39)))+(IF(ISBLANK(D39),B39,D39))),0))/3</f>
        <v>31216.619145654709</v>
      </c>
      <c r="Q39" s="70">
        <f>IF(IF(P30&gt;0,P30*((7*(IF(ISBLANK(E39),C39,E39)))+(IF(ISBLANK(D39),B39,D39))),0)&lt;0,0,IF(P30&gt;0,P30*((7*(IF(ISBLANK(E39),C39,E39)))+(IF(ISBLANK(D39),B39,D39))),0))/3</f>
        <v>49465.516058798377</v>
      </c>
      <c r="R39" s="70">
        <f>IF(IF(Q30&gt;0,Q30*((8*(IF(ISBLANK(E39),C39,E39)))+(IF(ISBLANK(D39),B39,D39))),0)&lt;0,0,IF(Q30&gt;0,Q30*((8*(IF(ISBLANK(E39),C39,E39)))+(IF(ISBLANK(D39),B39,D39))),0))/3</f>
        <v>78574.379366383931</v>
      </c>
      <c r="S39" s="70">
        <f>IF(IF(R30&gt;0,R30*((9*(IF(ISBLANK(E39),C39,E39)))+(IF(ISBLANK(D39),B39,D39))),0)&lt;0,0,IF(R30&gt;0,R30*((9*(IF(ISBLANK(E39),C39,E39)))+(IF(ISBLANK(D39),B39,D39))),0))/3</f>
        <v>125802.15749858312</v>
      </c>
      <c r="T39" s="305">
        <f t="shared" si="148"/>
        <v>855176.01620826032</v>
      </c>
      <c r="U39" s="281">
        <f>SUM((U30*(IF(ISBLANK(D39),B39,D39)+(10*IF(ISBLANK(E39),C39,E39))))+(S30*(IF(ISBLANK(D39),B39,D39)+(10*IF(ISBLANK(E39),C39,E39)))))</f>
        <v>5873996.6916153897</v>
      </c>
      <c r="V39" s="282">
        <f>SUM((V30*(IF(ISBLANK(D39),B39,D39)+(11*IF(ISBLANK(E39),C39,E39)))))</f>
        <v>17854076.980886061</v>
      </c>
      <c r="W39" s="283">
        <f>SUM((W30*(IF(ISBLANK(D39),B39,D39)+(12*IF(ISBLANK(E39),C39,E39)))))</f>
        <v>46161166.839465007</v>
      </c>
      <c r="X39" s="177"/>
      <c r="Y39" s="505">
        <v>0</v>
      </c>
      <c r="Z39" s="70">
        <f>F39</f>
        <v>0</v>
      </c>
      <c r="AA39" s="70">
        <f>F39</f>
        <v>0</v>
      </c>
      <c r="AB39" s="70">
        <f>F39</f>
        <v>0</v>
      </c>
      <c r="AC39" s="282">
        <f t="shared" si="134"/>
        <v>0</v>
      </c>
      <c r="AD39" s="74"/>
      <c r="AE39" s="70">
        <f>G39</f>
        <v>0</v>
      </c>
      <c r="AF39" s="70">
        <f>G39</f>
        <v>0</v>
      </c>
      <c r="AG39" s="70">
        <f>G39</f>
        <v>0</v>
      </c>
      <c r="AH39" s="282">
        <f t="shared" si="135"/>
        <v>0</v>
      </c>
      <c r="AI39" s="74"/>
      <c r="AJ39" s="70">
        <f>H39</f>
        <v>0</v>
      </c>
      <c r="AK39" s="70">
        <f>H39</f>
        <v>0</v>
      </c>
      <c r="AL39" s="70">
        <f>H39</f>
        <v>0</v>
      </c>
      <c r="AM39" s="282">
        <f t="shared" si="136"/>
        <v>0</v>
      </c>
      <c r="AN39" s="74"/>
      <c r="AO39" s="70">
        <f>I39</f>
        <v>891.63768789617734</v>
      </c>
      <c r="AP39" s="70">
        <f>I39</f>
        <v>891.63768789617734</v>
      </c>
      <c r="AQ39" s="70">
        <f>I39</f>
        <v>891.63768789617734</v>
      </c>
      <c r="AR39" s="282">
        <f t="shared" si="137"/>
        <v>2674.913063688532</v>
      </c>
      <c r="AS39" s="74"/>
      <c r="AT39" s="70">
        <f>K39</f>
        <v>3542.3783417165973</v>
      </c>
      <c r="AU39" s="70">
        <f>K39</f>
        <v>3542.3783417165973</v>
      </c>
      <c r="AV39" s="70">
        <f>K39</f>
        <v>3542.3783417165973</v>
      </c>
      <c r="AW39" s="282">
        <f t="shared" si="138"/>
        <v>10627.135025149792</v>
      </c>
      <c r="AX39" s="74"/>
      <c r="AY39" s="70">
        <f>L39</f>
        <v>6627.7101596027896</v>
      </c>
      <c r="AZ39" s="70">
        <f>L39</f>
        <v>6627.7101596027896</v>
      </c>
      <c r="BA39" s="70">
        <f>L39</f>
        <v>6627.7101596027896</v>
      </c>
      <c r="BB39" s="282">
        <f t="shared" si="139"/>
        <v>19883.130478808369</v>
      </c>
      <c r="BC39" s="74"/>
      <c r="BD39" s="70">
        <f>M39</f>
        <v>12015.906676567392</v>
      </c>
      <c r="BE39" s="70">
        <f>M39</f>
        <v>12015.906676567392</v>
      </c>
      <c r="BF39" s="70">
        <f>M39</f>
        <v>12015.906676567392</v>
      </c>
      <c r="BG39" s="282">
        <f t="shared" si="140"/>
        <v>36047.720029702177</v>
      </c>
      <c r="BH39" s="74"/>
      <c r="BI39" s="70">
        <f>N39</f>
        <v>19651.093963082818</v>
      </c>
      <c r="BJ39" s="70">
        <f>N39</f>
        <v>19651.093963082818</v>
      </c>
      <c r="BK39" s="70">
        <f>N39</f>
        <v>19651.093963082818</v>
      </c>
      <c r="BL39" s="282">
        <f t="shared" si="141"/>
        <v>58953.28188924845</v>
      </c>
      <c r="BM39" s="74"/>
      <c r="BN39" s="70">
        <f>P39</f>
        <v>31216.619145654709</v>
      </c>
      <c r="BO39" s="70">
        <f>P39</f>
        <v>31216.619145654709</v>
      </c>
      <c r="BP39" s="70">
        <f>P39</f>
        <v>31216.619145654709</v>
      </c>
      <c r="BQ39" s="282">
        <f t="shared" si="142"/>
        <v>93649.857436964128</v>
      </c>
      <c r="BR39" s="74"/>
      <c r="BS39" s="70">
        <f>Q39</f>
        <v>49465.516058798377</v>
      </c>
      <c r="BT39" s="70">
        <f>Q39</f>
        <v>49465.516058798377</v>
      </c>
      <c r="BU39" s="70">
        <f>Q39</f>
        <v>49465.516058798377</v>
      </c>
      <c r="BV39" s="282">
        <f t="shared" si="143"/>
        <v>148396.54817639512</v>
      </c>
      <c r="BW39" s="74"/>
      <c r="BX39" s="70">
        <f>R39</f>
        <v>78574.379366383931</v>
      </c>
      <c r="BY39" s="70">
        <f>R39</f>
        <v>78574.379366383931</v>
      </c>
      <c r="BZ39" s="70">
        <f>R39</f>
        <v>78574.379366383931</v>
      </c>
      <c r="CA39" s="282">
        <f t="shared" si="144"/>
        <v>235723.13809915178</v>
      </c>
      <c r="CB39" s="74"/>
      <c r="CC39" s="70">
        <f>S39</f>
        <v>125802.15749858312</v>
      </c>
      <c r="CD39" s="70">
        <f>S39</f>
        <v>125802.15749858312</v>
      </c>
      <c r="CE39" s="70">
        <f>S39</f>
        <v>125802.15749858312</v>
      </c>
      <c r="CF39" s="282">
        <f t="shared" si="145"/>
        <v>377406.47249574936</v>
      </c>
      <c r="CG39" s="88"/>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1" t="s">
        <v>272</v>
      </c>
      <c r="B40" s="260">
        <v>0.25</v>
      </c>
      <c r="C40" s="293">
        <v>0</v>
      </c>
      <c r="D40" s="118"/>
      <c r="E40" s="117"/>
      <c r="F40" s="130">
        <v>0</v>
      </c>
      <c r="G40" s="70">
        <f>IF(IF(F49&gt;0,F49*((0*(IF(ISBLANK(E40),C40,E40)))+(IF(ISBLANK(D40),B40,D40))),0)&lt;0,0,IF(F49&gt;0,F49*((0*(IF(ISBLANK(E40),C40,E40)))+(IF(ISBLANK(D40),B40,D40))),0))/3</f>
        <v>0</v>
      </c>
      <c r="H40" s="70">
        <f>IF(IF(G49&gt;0,G49*((0*(IF(ISBLANK(E40),C40,E40)))+(IF(ISBLANK(D40),B40,D40))),0)&lt;0,0,IF(G49&gt;0,G49*((0*(IF(ISBLANK(E40),C40,E40)))+(IF(ISBLANK(D40),B40,D40))),0))/3</f>
        <v>0</v>
      </c>
      <c r="I40" s="70">
        <f>IF(IF(H49&gt;0,H49*((1*(IF(ISBLANK(E40),C40,E40)))+(IF(ISBLANK(D40),B40,D40))),0)&lt;0,0,IF(H49&gt;0,H49*((1*(IF(ISBLANK(E40),C40,E40)))+(IF(ISBLANK(D40),B40,D40))),0))/3</f>
        <v>0</v>
      </c>
      <c r="J40" s="282">
        <f t="shared" si="146"/>
        <v>0</v>
      </c>
      <c r="K40" s="70">
        <f>IF(IF(I49&gt;0,I49*((2*(IF(ISBLANK(E40),C40,E40)))+(IF(ISBLANK(D40),B40,D40))),0)&lt;0,0,IF(I49&gt;0,I49*((2*(IF(ISBLANK(E40),C40,E40)))+(IF(ISBLANK(D40),B40,D40))),0))/3</f>
        <v>0</v>
      </c>
      <c r="L40" s="70">
        <f>IF(IF(K49&gt;0,K49*((3*(IF(ISBLANK(E40),C40,E40)))+(IF(ISBLANK(D40),B40,D40))),0)&lt;0,0,IF(K49&gt;0,K49*((3*(IF(ISBLANK(E40),C40,E40)))+(IF(ISBLANK(D40),B40,D40))),0))/3</f>
        <v>0</v>
      </c>
      <c r="M40" s="70">
        <f>IF(IF(L49&gt;0,L49*((4*(IF(ISBLANK(E40),C40,E40)))+(IF(ISBLANK(D40),B40,D40))),0)&lt;0,0,IF(L49&gt;0,L49*((4*(IF(ISBLANK(E40),C40,E40)))+(IF(ISBLANK(D40),B40,D40))),0))/3</f>
        <v>0</v>
      </c>
      <c r="N40" s="70">
        <f>IF(IF(M49&gt;0,M49*((5*(IF(ISBLANK(E40),C40,E40)))+(IF(ISBLANK(D40),B40,D40))),0)&lt;0,0,IF(M49&gt;0,M49*((5*(IF(ISBLANK(E40),C40,E40)))+(IF(ISBLANK(D40),B40,D40))),0))/3</f>
        <v>0</v>
      </c>
      <c r="O40" s="282">
        <f t="shared" si="147"/>
        <v>0</v>
      </c>
      <c r="P40" s="70">
        <f>IF(IF(N49&gt;0,N49*((6*(IF(ISBLANK(E40),C40,E40)))+(IF(ISBLANK(D40),B40,D40))),0)&lt;0,0,IF(N49&gt;0,N49*((6*(IF(ISBLANK(E40),C40,E40)))+(IF(ISBLANK(D40),B40,D40))),0))/3</f>
        <v>841.46001559250965</v>
      </c>
      <c r="Q40" s="70">
        <f>IF(IF(P49&gt;0,P49*((7*(IF(ISBLANK(E40),C40,E40)))+(IF(ISBLANK(D40),B40,D40))),0)&lt;0,0,IF(P49&gt;0,P49*((7*(IF(ISBLANK(E40),C40,E40)))+(IF(ISBLANK(D40),B40,D40))),0))/3</f>
        <v>8876.8798035052514</v>
      </c>
      <c r="R40" s="70">
        <f>IF(IF(Q49&gt;0,Q49*((8*(IF(ISBLANK(E40),C40,E40)))+(IF(ISBLANK(D40),B40,D40))),0)&lt;0,0,IF(Q49&gt;0,Q49*((8*(IF(ISBLANK(E40),C40,E40)))+(IF(ISBLANK(D40),B40,D40))),0))/3</f>
        <v>21647.191892469225</v>
      </c>
      <c r="S40" s="70">
        <f>IF(IF(R49&gt;0,R49*((9*(IF(ISBLANK(E40),C40,E40)))+(IF(ISBLANK(D40),B40,D40))),0)&lt;0,0,IF(R49&gt;0,R49*((9*(IF(ISBLANK(E40),C40,E40)))+(IF(ISBLANK(D40),B40,D40))),0))/3</f>
        <v>45183.425748011759</v>
      </c>
      <c r="T40" s="305">
        <f t="shared" si="148"/>
        <v>229646.87237873621</v>
      </c>
      <c r="U40" s="281">
        <f>SUM(IF(S49&lt;0,0,S49*((10*(IF(ISBLANK(E40),C40,E40)))+(IF(ISBLANK(D40),B40,D40)))))</f>
        <v>260947.58166267874</v>
      </c>
      <c r="V40" s="282">
        <f>SUM(IF(U49&lt;0,0,U49*((11*(IF(ISBLANK(E40),C40,E40)))+(IF(ISBLANK(D40),B40,D40)))))</f>
        <v>2145178.7541110227</v>
      </c>
      <c r="W40" s="283">
        <f>SUM(IF(V49&lt;0,0,V49*((12*(IF(ISBLANK(E40),C40,E40)))+(IF(ISBLANK(D40),B40,D40)))))</f>
        <v>10435257.646444356</v>
      </c>
      <c r="X40" s="177"/>
      <c r="Y40" s="505">
        <v>0</v>
      </c>
      <c r="Z40" s="70">
        <f>F40</f>
        <v>0</v>
      </c>
      <c r="AA40" s="70">
        <f>F40</f>
        <v>0</v>
      </c>
      <c r="AB40" s="70">
        <f>F40</f>
        <v>0</v>
      </c>
      <c r="AC40" s="282">
        <f t="shared" si="134"/>
        <v>0</v>
      </c>
      <c r="AD40" s="74"/>
      <c r="AE40" s="70">
        <f>G40</f>
        <v>0</v>
      </c>
      <c r="AF40" s="70">
        <f>G40</f>
        <v>0</v>
      </c>
      <c r="AG40" s="70">
        <f>G40</f>
        <v>0</v>
      </c>
      <c r="AH40" s="282">
        <f t="shared" si="135"/>
        <v>0</v>
      </c>
      <c r="AI40" s="74"/>
      <c r="AJ40" s="70">
        <f>H40</f>
        <v>0</v>
      </c>
      <c r="AK40" s="70">
        <f>H40</f>
        <v>0</v>
      </c>
      <c r="AL40" s="70">
        <f>H40</f>
        <v>0</v>
      </c>
      <c r="AM40" s="282">
        <f t="shared" si="136"/>
        <v>0</v>
      </c>
      <c r="AN40" s="74"/>
      <c r="AO40" s="70">
        <f>I40</f>
        <v>0</v>
      </c>
      <c r="AP40" s="70">
        <f>I40</f>
        <v>0</v>
      </c>
      <c r="AQ40" s="70">
        <f>I40</f>
        <v>0</v>
      </c>
      <c r="AR40" s="282">
        <f t="shared" si="137"/>
        <v>0</v>
      </c>
      <c r="AS40" s="74"/>
      <c r="AT40" s="70">
        <f>K40</f>
        <v>0</v>
      </c>
      <c r="AU40" s="70">
        <f>K40</f>
        <v>0</v>
      </c>
      <c r="AV40" s="70">
        <f>K40</f>
        <v>0</v>
      </c>
      <c r="AW40" s="282">
        <f t="shared" si="138"/>
        <v>0</v>
      </c>
      <c r="AX40" s="74"/>
      <c r="AY40" s="70">
        <f>L40</f>
        <v>0</v>
      </c>
      <c r="AZ40" s="70">
        <f>L40</f>
        <v>0</v>
      </c>
      <c r="BA40" s="70">
        <f>L40</f>
        <v>0</v>
      </c>
      <c r="BB40" s="282">
        <f t="shared" si="139"/>
        <v>0</v>
      </c>
      <c r="BC40" s="74"/>
      <c r="BD40" s="70">
        <f>M40</f>
        <v>0</v>
      </c>
      <c r="BE40" s="70">
        <f>M40</f>
        <v>0</v>
      </c>
      <c r="BF40" s="70">
        <f>M40</f>
        <v>0</v>
      </c>
      <c r="BG40" s="282">
        <f t="shared" si="140"/>
        <v>0</v>
      </c>
      <c r="BH40" s="74"/>
      <c r="BI40" s="70">
        <f>N40</f>
        <v>0</v>
      </c>
      <c r="BJ40" s="70">
        <f>N40</f>
        <v>0</v>
      </c>
      <c r="BK40" s="70">
        <f>N40</f>
        <v>0</v>
      </c>
      <c r="BL40" s="282">
        <f t="shared" si="141"/>
        <v>0</v>
      </c>
      <c r="BM40" s="74"/>
      <c r="BN40" s="70">
        <f>P40</f>
        <v>841.46001559250965</v>
      </c>
      <c r="BO40" s="70">
        <f>P40</f>
        <v>841.46001559250965</v>
      </c>
      <c r="BP40" s="70">
        <f>P40</f>
        <v>841.46001559250965</v>
      </c>
      <c r="BQ40" s="282">
        <f t="shared" si="142"/>
        <v>2524.3800467775291</v>
      </c>
      <c r="BR40" s="74"/>
      <c r="BS40" s="70">
        <f>Q40</f>
        <v>8876.8798035052514</v>
      </c>
      <c r="BT40" s="70">
        <f>Q40</f>
        <v>8876.8798035052514</v>
      </c>
      <c r="BU40" s="70">
        <f>Q40</f>
        <v>8876.8798035052514</v>
      </c>
      <c r="BV40" s="282">
        <f t="shared" si="143"/>
        <v>26630.639410515752</v>
      </c>
      <c r="BW40" s="74"/>
      <c r="BX40" s="70">
        <f>R40</f>
        <v>21647.191892469225</v>
      </c>
      <c r="BY40" s="70">
        <f>R40</f>
        <v>21647.191892469225</v>
      </c>
      <c r="BZ40" s="70">
        <f>R40</f>
        <v>21647.191892469225</v>
      </c>
      <c r="CA40" s="282">
        <f t="shared" si="144"/>
        <v>64941.575677407673</v>
      </c>
      <c r="CB40" s="74"/>
      <c r="CC40" s="70">
        <f>S40</f>
        <v>45183.425748011759</v>
      </c>
      <c r="CD40" s="70">
        <f>S40</f>
        <v>45183.425748011759</v>
      </c>
      <c r="CE40" s="70">
        <f>S40</f>
        <v>45183.425748011759</v>
      </c>
      <c r="CF40" s="282">
        <f t="shared" si="145"/>
        <v>135550.27724403527</v>
      </c>
      <c r="CG40" s="88"/>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1" t="s">
        <v>273</v>
      </c>
      <c r="B41" s="281">
        <v>2500</v>
      </c>
      <c r="C41" s="305">
        <v>750</v>
      </c>
      <c r="D41" s="116"/>
      <c r="E41" s="119"/>
      <c r="F41" s="104">
        <f>IF(ISBLANK(D41),B41,D41)</f>
        <v>2500</v>
      </c>
      <c r="G41" s="70">
        <f>SUM((IF(F49&gt;0,IF(ISBLANK(E41),C41,E41),0)+F41))</f>
        <v>2500</v>
      </c>
      <c r="H41" s="70">
        <f>SUM((IF(G49&gt;0,IF(ISBLANK(E41),C41,E41),0)+G41))</f>
        <v>2500</v>
      </c>
      <c r="I41" s="70">
        <f>SUM((IF(H49&gt;0,IF(ISBLANK(E41),C41,E41),0)+H41))</f>
        <v>2500</v>
      </c>
      <c r="J41" s="282">
        <f t="shared" si="146"/>
        <v>30000</v>
      </c>
      <c r="K41" s="70">
        <f>SUM((IF(I49&gt;0,IF(ISBLANK(E41),C41,E41),0)+I41))</f>
        <v>2500</v>
      </c>
      <c r="L41" s="70">
        <f>SUM((IF(K49&gt;0,IF(ISBLANK(E41),C41,E41),0)+K41))</f>
        <v>2500</v>
      </c>
      <c r="M41" s="70">
        <f>SUM((IF(L49&gt;0,IF(ISBLANK(E41),C41,E41),0)+L41))</f>
        <v>2500</v>
      </c>
      <c r="N41" s="70">
        <f>SUM((IF(M49&gt;0,IF(ISBLANK(E41),C41,E41),0)+M41))</f>
        <v>2500</v>
      </c>
      <c r="O41" s="282">
        <f t="shared" si="147"/>
        <v>30000</v>
      </c>
      <c r="P41" s="70">
        <f>SUM((IF(N49&gt;0,IF(ISBLANK(E41),C41,E41),0)+N41))</f>
        <v>3250</v>
      </c>
      <c r="Q41" s="70">
        <f>SUM((IF(P49&gt;0,IF(ISBLANK(E41),C41,E41),0)+P41))</f>
        <v>4000</v>
      </c>
      <c r="R41" s="70">
        <f>SUM((IF(Q49&gt;0,IF(ISBLANK(E41),C41,E41),0)+Q41))</f>
        <v>4750</v>
      </c>
      <c r="S41" s="70">
        <f>SUM((IF(R49&gt;0,IF(ISBLANK(E41),C41,E41),0)+R41))</f>
        <v>5500</v>
      </c>
      <c r="T41" s="305">
        <f t="shared" si="148"/>
        <v>52500</v>
      </c>
      <c r="U41" s="281">
        <f>SUM((IF(S49&gt;0,IF(ISBLANK(E41),C41,E41),0)+S41))</f>
        <v>6250</v>
      </c>
      <c r="V41" s="282">
        <f>SUM((IF(U49&gt;0,IF(ISBLANK(E41),C41,E41),0)+U41))</f>
        <v>7000</v>
      </c>
      <c r="W41" s="283">
        <f>SUM((IF(V49&gt;0,IF(ISBLANK(E41),C41,E41),0)+V41))</f>
        <v>7750</v>
      </c>
      <c r="X41" s="177"/>
      <c r="Y41" s="505">
        <v>55000</v>
      </c>
      <c r="Z41" s="70">
        <f t="shared" si="149"/>
        <v>2500</v>
      </c>
      <c r="AA41" s="70">
        <f t="shared" si="150"/>
        <v>2500</v>
      </c>
      <c r="AB41" s="70">
        <f t="shared" si="151"/>
        <v>2500</v>
      </c>
      <c r="AC41" s="282">
        <f t="shared" si="134"/>
        <v>7500</v>
      </c>
      <c r="AD41" s="74"/>
      <c r="AE41" s="70">
        <f t="shared" si="152"/>
        <v>2500</v>
      </c>
      <c r="AF41" s="70">
        <f>G41</f>
        <v>2500</v>
      </c>
      <c r="AG41" s="70">
        <f>G41</f>
        <v>2500</v>
      </c>
      <c r="AH41" s="282">
        <f t="shared" si="135"/>
        <v>7500</v>
      </c>
      <c r="AI41" s="74"/>
      <c r="AJ41" s="70">
        <f>H41</f>
        <v>2500</v>
      </c>
      <c r="AK41" s="70">
        <f>H41</f>
        <v>2500</v>
      </c>
      <c r="AL41" s="70">
        <f>H41</f>
        <v>2500</v>
      </c>
      <c r="AM41" s="282">
        <f t="shared" si="136"/>
        <v>7500</v>
      </c>
      <c r="AN41" s="74"/>
      <c r="AO41" s="70">
        <f t="shared" si="158"/>
        <v>2500</v>
      </c>
      <c r="AP41" s="70">
        <f t="shared" si="159"/>
        <v>2500</v>
      </c>
      <c r="AQ41" s="70">
        <f t="shared" si="160"/>
        <v>2500</v>
      </c>
      <c r="AR41" s="282">
        <f t="shared" si="137"/>
        <v>7500</v>
      </c>
      <c r="AS41" s="74"/>
      <c r="AT41" s="70">
        <f t="shared" si="161"/>
        <v>2500</v>
      </c>
      <c r="AU41" s="70">
        <f t="shared" si="162"/>
        <v>2500</v>
      </c>
      <c r="AV41" s="70">
        <f t="shared" si="163"/>
        <v>2500</v>
      </c>
      <c r="AW41" s="282">
        <f t="shared" si="138"/>
        <v>7500</v>
      </c>
      <c r="AX41" s="74"/>
      <c r="AY41" s="70">
        <f t="shared" si="164"/>
        <v>2500</v>
      </c>
      <c r="AZ41" s="70">
        <f t="shared" si="165"/>
        <v>2500</v>
      </c>
      <c r="BA41" s="70">
        <f t="shared" si="166"/>
        <v>2500</v>
      </c>
      <c r="BB41" s="282">
        <f t="shared" si="139"/>
        <v>7500</v>
      </c>
      <c r="BC41" s="74"/>
      <c r="BD41" s="70">
        <f t="shared" si="167"/>
        <v>2500</v>
      </c>
      <c r="BE41" s="70">
        <f t="shared" si="168"/>
        <v>2500</v>
      </c>
      <c r="BF41" s="70">
        <f t="shared" si="169"/>
        <v>2500</v>
      </c>
      <c r="BG41" s="282">
        <f t="shared" si="140"/>
        <v>7500</v>
      </c>
      <c r="BH41" s="74"/>
      <c r="BI41" s="70">
        <f>N41</f>
        <v>2500</v>
      </c>
      <c r="BJ41" s="70">
        <f t="shared" si="171"/>
        <v>2500</v>
      </c>
      <c r="BK41" s="70">
        <f t="shared" si="172"/>
        <v>2500</v>
      </c>
      <c r="BL41" s="282">
        <f t="shared" si="141"/>
        <v>7500</v>
      </c>
      <c r="BM41" s="74"/>
      <c r="BN41" s="70">
        <f t="shared" si="173"/>
        <v>3250</v>
      </c>
      <c r="BO41" s="70">
        <f t="shared" si="174"/>
        <v>3250</v>
      </c>
      <c r="BP41" s="70">
        <f t="shared" si="175"/>
        <v>3250</v>
      </c>
      <c r="BQ41" s="282">
        <f t="shared" si="142"/>
        <v>9750</v>
      </c>
      <c r="BR41" s="74"/>
      <c r="BS41" s="70">
        <f t="shared" si="176"/>
        <v>4000</v>
      </c>
      <c r="BT41" s="70">
        <f t="shared" si="177"/>
        <v>4000</v>
      </c>
      <c r="BU41" s="70">
        <f t="shared" si="178"/>
        <v>4000</v>
      </c>
      <c r="BV41" s="282">
        <f t="shared" si="143"/>
        <v>12000</v>
      </c>
      <c r="BW41" s="74"/>
      <c r="BX41" s="70">
        <f t="shared" si="179"/>
        <v>4750</v>
      </c>
      <c r="BY41" s="70">
        <f t="shared" si="180"/>
        <v>4750</v>
      </c>
      <c r="BZ41" s="70">
        <f t="shared" si="181"/>
        <v>4750</v>
      </c>
      <c r="CA41" s="282">
        <f t="shared" si="144"/>
        <v>14250</v>
      </c>
      <c r="CB41" s="74"/>
      <c r="CC41" s="70">
        <f t="shared" si="182"/>
        <v>5500</v>
      </c>
      <c r="CD41" s="70">
        <f t="shared" si="183"/>
        <v>5500</v>
      </c>
      <c r="CE41" s="70">
        <f t="shared" si="184"/>
        <v>5500</v>
      </c>
      <c r="CF41" s="282">
        <f t="shared" si="145"/>
        <v>16500</v>
      </c>
      <c r="CG41" s="88"/>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1" t="s">
        <v>274</v>
      </c>
      <c r="B42" s="281">
        <v>2000</v>
      </c>
      <c r="C42" s="304">
        <v>0.01</v>
      </c>
      <c r="D42" s="116"/>
      <c r="E42" s="120"/>
      <c r="F42" s="104">
        <f>SUM((IF(ISBLANK(D42),B42,D42))+(IF(ISBLANK(E42),C42,E42)*F18))</f>
        <v>2021.4521407384641</v>
      </c>
      <c r="G42" s="70">
        <f>SUM((IF(ISBLANK(D42),B42,D42))+(IF(ISBLANK(E42),C42,E42)*G18))</f>
        <v>2051.1901415290749</v>
      </c>
      <c r="H42" s="70">
        <f>SUM((IF(ISBLANK(D42),B42,D42))+(IF(ISBLANK(E42),C42,E42)*H18))</f>
        <v>2197.5474821641124</v>
      </c>
      <c r="I42" s="70">
        <f>SUM((IF(ISBLANK(D42),B42,D42))+(IF(ISBLANK(E42),C42,E42)*I18))</f>
        <v>2335.8500212809558</v>
      </c>
      <c r="J42" s="282">
        <f t="shared" si="146"/>
        <v>25818.119357137821</v>
      </c>
      <c r="K42" s="70">
        <f>SUM((IF(ISBLANK(D42),B42,D42))+(IF(ISBLANK(E42),C42,E42)*K18))</f>
        <v>2459.8997296633361</v>
      </c>
      <c r="L42" s="70">
        <f>SUM((IF(ISBLANK(D42),B42,D42))+(IF(ISBLANK(E42),C42,E42)*L18))</f>
        <v>2610.8563428819662</v>
      </c>
      <c r="M42" s="70">
        <f>SUM((IF(ISBLANK(D42),B42,D42))+(IF(ISBLANK(E42),C42,E42)*M18))</f>
        <v>2785.1826774362016</v>
      </c>
      <c r="N42" s="70">
        <f>SUM((IF(ISBLANK(D42),B42,D42))+(IF(ISBLANK(E42),C42,E42)*N18))</f>
        <v>3042.889429639446</v>
      </c>
      <c r="O42" s="282">
        <f t="shared" si="147"/>
        <v>32696.484538862846</v>
      </c>
      <c r="P42" s="70">
        <f>SUM((IF(ISBLANK(D42),B42,D42))+(IF(ISBLANK(E42),C42,E42)*P18))</f>
        <v>3420.7864691439609</v>
      </c>
      <c r="Q42" s="70">
        <f>SUM((IF(ISBLANK(D42),B42,D42))+(IF(ISBLANK(E42),C42,E42)*Q18))</f>
        <v>3981.9899301344121</v>
      </c>
      <c r="R42" s="70">
        <f>SUM((IF(ISBLANK(D42),B42,D42))+(IF(ISBLANK(E42),C42,E42)*R18))</f>
        <v>4833.6738288871147</v>
      </c>
      <c r="S42" s="70">
        <f>SUM((IF(ISBLANK(D42),B42,D42))+(IF(ISBLANK(E42),C42,E42)*S18))</f>
        <v>6154.9386781715839</v>
      </c>
      <c r="T42" s="305">
        <f t="shared" si="148"/>
        <v>55174.16671901122</v>
      </c>
      <c r="U42" s="281">
        <f>SUM((IF(ISBLANK(D42),B42,D42))+(IF(ISBLANK(E42),C42,E42)*U18))*12</f>
        <v>133123.83159607011</v>
      </c>
      <c r="V42" s="282">
        <f>SUM((IF(ISBLANK(D42),B42,D42))+(IF(ISBLANK(E42),C42,E42)*V18))*12</f>
        <v>376221.82682475832</v>
      </c>
      <c r="W42" s="283">
        <f>SUM((IF(ISBLANK(D42),B42,D42))+(IF(ISBLANK(E42),C42,E42)*W18))*12</f>
        <v>713790.96864849213</v>
      </c>
      <c r="X42" s="177"/>
      <c r="Y42" s="505">
        <f>SUM(10105+7000)</f>
        <v>17105</v>
      </c>
      <c r="Z42" s="70">
        <f t="shared" si="149"/>
        <v>2021.4521407384641</v>
      </c>
      <c r="AA42" s="70">
        <f t="shared" si="150"/>
        <v>2021.4521407384641</v>
      </c>
      <c r="AB42" s="70">
        <f t="shared" si="151"/>
        <v>2021.4521407384641</v>
      </c>
      <c r="AC42" s="282">
        <f t="shared" si="134"/>
        <v>6064.3564222153927</v>
      </c>
      <c r="AD42" s="74"/>
      <c r="AE42" s="70">
        <f t="shared" si="152"/>
        <v>2051.1901415290749</v>
      </c>
      <c r="AF42" s="70">
        <f t="shared" si="153"/>
        <v>2051.1901415290749</v>
      </c>
      <c r="AG42" s="70">
        <f t="shared" si="154"/>
        <v>2051.1901415290749</v>
      </c>
      <c r="AH42" s="282">
        <f t="shared" si="135"/>
        <v>6153.5704245872248</v>
      </c>
      <c r="AI42" s="74"/>
      <c r="AJ42" s="70">
        <f t="shared" si="155"/>
        <v>2197.5474821641124</v>
      </c>
      <c r="AK42" s="70">
        <f t="shared" si="156"/>
        <v>2197.5474821641124</v>
      </c>
      <c r="AL42" s="70">
        <f t="shared" si="157"/>
        <v>2197.5474821641124</v>
      </c>
      <c r="AM42" s="282">
        <f t="shared" si="136"/>
        <v>6592.6424464923366</v>
      </c>
      <c r="AN42" s="74"/>
      <c r="AO42" s="70">
        <f t="shared" si="158"/>
        <v>2335.8500212809558</v>
      </c>
      <c r="AP42" s="70">
        <f t="shared" si="159"/>
        <v>2335.8500212809558</v>
      </c>
      <c r="AQ42" s="70">
        <f t="shared" si="160"/>
        <v>2335.8500212809558</v>
      </c>
      <c r="AR42" s="282">
        <f t="shared" si="137"/>
        <v>7007.5500638428675</v>
      </c>
      <c r="AS42" s="74"/>
      <c r="AT42" s="70">
        <f t="shared" si="161"/>
        <v>2459.8997296633361</v>
      </c>
      <c r="AU42" s="70">
        <f t="shared" si="162"/>
        <v>2459.8997296633361</v>
      </c>
      <c r="AV42" s="70">
        <f t="shared" si="163"/>
        <v>2459.8997296633361</v>
      </c>
      <c r="AW42" s="282">
        <f t="shared" si="138"/>
        <v>7379.6991889900082</v>
      </c>
      <c r="AX42" s="74"/>
      <c r="AY42" s="70">
        <f t="shared" si="164"/>
        <v>2610.8563428819662</v>
      </c>
      <c r="AZ42" s="70">
        <f t="shared" si="165"/>
        <v>2610.8563428819662</v>
      </c>
      <c r="BA42" s="70">
        <f t="shared" si="166"/>
        <v>2610.8563428819662</v>
      </c>
      <c r="BB42" s="282">
        <f t="shared" si="139"/>
        <v>7832.5690286458985</v>
      </c>
      <c r="BC42" s="74"/>
      <c r="BD42" s="70">
        <f t="shared" si="167"/>
        <v>2785.1826774362016</v>
      </c>
      <c r="BE42" s="70">
        <f t="shared" si="168"/>
        <v>2785.1826774362016</v>
      </c>
      <c r="BF42" s="70">
        <f t="shared" si="169"/>
        <v>2785.1826774362016</v>
      </c>
      <c r="BG42" s="282">
        <f t="shared" si="140"/>
        <v>8355.5480323086049</v>
      </c>
      <c r="BH42" s="74"/>
      <c r="BI42" s="70">
        <f t="shared" si="170"/>
        <v>3042.889429639446</v>
      </c>
      <c r="BJ42" s="70">
        <f t="shared" si="171"/>
        <v>3042.889429639446</v>
      </c>
      <c r="BK42" s="70">
        <f t="shared" si="172"/>
        <v>3042.889429639446</v>
      </c>
      <c r="BL42" s="282">
        <f t="shared" si="141"/>
        <v>9128.6682889183376</v>
      </c>
      <c r="BM42" s="74"/>
      <c r="BN42" s="70">
        <f t="shared" si="173"/>
        <v>3420.7864691439609</v>
      </c>
      <c r="BO42" s="70">
        <f t="shared" si="174"/>
        <v>3420.7864691439609</v>
      </c>
      <c r="BP42" s="70">
        <f t="shared" si="175"/>
        <v>3420.7864691439609</v>
      </c>
      <c r="BQ42" s="282">
        <f t="shared" si="142"/>
        <v>10262.359407431883</v>
      </c>
      <c r="BR42" s="74"/>
      <c r="BS42" s="70">
        <f t="shared" si="176"/>
        <v>3981.9899301344121</v>
      </c>
      <c r="BT42" s="70">
        <f t="shared" si="177"/>
        <v>3981.9899301344121</v>
      </c>
      <c r="BU42" s="70">
        <f t="shared" si="178"/>
        <v>3981.9899301344121</v>
      </c>
      <c r="BV42" s="282">
        <f t="shared" si="143"/>
        <v>11945.969790403236</v>
      </c>
      <c r="BW42" s="74"/>
      <c r="BX42" s="70">
        <f t="shared" si="179"/>
        <v>4833.6738288871147</v>
      </c>
      <c r="BY42" s="70">
        <f t="shared" si="180"/>
        <v>4833.6738288871147</v>
      </c>
      <c r="BZ42" s="70">
        <f t="shared" si="181"/>
        <v>4833.6738288871147</v>
      </c>
      <c r="CA42" s="282">
        <f t="shared" si="144"/>
        <v>14501.021486661344</v>
      </c>
      <c r="CB42" s="74"/>
      <c r="CC42" s="70">
        <f t="shared" si="182"/>
        <v>6154.9386781715839</v>
      </c>
      <c r="CD42" s="70">
        <f t="shared" si="183"/>
        <v>6154.9386781715839</v>
      </c>
      <c r="CE42" s="70">
        <f t="shared" si="184"/>
        <v>6154.9386781715839</v>
      </c>
      <c r="CF42" s="282">
        <f t="shared" si="145"/>
        <v>18464.816034514752</v>
      </c>
      <c r="CG42" s="88"/>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1" t="s">
        <v>275</v>
      </c>
      <c r="B43" s="260">
        <v>0.05</v>
      </c>
      <c r="C43" s="293">
        <v>-6.0000000000000001E-3</v>
      </c>
      <c r="D43" s="118"/>
      <c r="E43" s="117"/>
      <c r="F43" s="130">
        <v>10000</v>
      </c>
      <c r="G43" s="131">
        <v>10000</v>
      </c>
      <c r="H43" s="70">
        <f>SUM((IF(ISBLANK(D43),B43,D43)*(H30/3))+(G43))</f>
        <v>10222.909421974044</v>
      </c>
      <c r="I43" s="104">
        <f>SUM(IF(ISBLANK(D43),      (IF((1*(IF(ISBLANK(E43),C43,E43)) + B43) &lt; 0,     0,     (1*(IF(ISBLANK(E43),C43,E43)) + B43)   )),       (IF((1*(IF(ISBLANK(E43),C43,E43)) + D43) &lt; 0,     0,     (1*(IF(ISBLANK(E43),C43,E43)) + D43)   ))  )       *   (I30/3)+(H43))</f>
        <v>11002.232657151695</v>
      </c>
      <c r="J43" s="282">
        <f t="shared" si="146"/>
        <v>123675.42623737722</v>
      </c>
      <c r="K43" s="70">
        <f>SUM(IF(ISBLANK(D43),      (IF((2*(IF(ISBLANK(E43),C43,E43)) + B43) &lt; 0,     0,     (2*(IF(ISBLANK(E43),C43,E43)) + B43)   )),       (IF((2*(IF(ISBLANK(E43),C43,E43)) + D43) &lt; 0,     0,     (2*(IF(ISBLANK(E43),C43,E43)) + D43)   ))  )       *   (K30/3)+(I43))</f>
        <v>12261.497587476226</v>
      </c>
      <c r="L43" s="70">
        <f>SUM(IF(ISBLANK(D43),      (IF((3*(IF(ISBLANK(E43),C43,E43)) + B43) &lt; 0,     0,     (3*(IF(ISBLANK(E43),C43,E43)) + B43)   )),       (IF((3*(IF(ISBLANK(E43),C43,E43)) + D43) &lt; 0,     0,     (3*(IF(ISBLANK(E43),C43,E43)) + D43)   ))  )       *   (L30/3)+(K43))</f>
        <v>14184.042655727009</v>
      </c>
      <c r="M43" s="70">
        <f>SUM(IF(ISBLANK(D43),      (IF((4*(IF(ISBLANK(E43),C43,E43)) + B43) &lt; 0,     0,     (4*(IF(ISBLANK(E43),C43,E43)) + B43)   )),       (IF((4*(IF(ISBLANK(E43),C43,E43)) + D43) &lt; 0,     0,     (4*(IF(ISBLANK(E43),C43,E43)) + D43)   ))  )       *   (M30/3)+(L43))</f>
        <v>16738.684870927777</v>
      </c>
      <c r="N43" s="70">
        <f>SUM(IF(ISBLANK(D43),      (IF((5*(IF(ISBLANK(E43),C43,E43)) + B43) &lt; 0,     0,     (5*(IF(ISBLANK(E43),C43,E43)) + B43)   )),       (IF((5*(IF(ISBLANK(E43),C43,E43)) + D43) &lt; 0,     0,     (5*(IF(ISBLANK(E43),C43,E43)) + D43)   ))  )       *   (N30/3)+(M43))</f>
        <v>19860.346785493246</v>
      </c>
      <c r="O43" s="282">
        <f t="shared" si="147"/>
        <v>189133.71569887278</v>
      </c>
      <c r="P43" s="70">
        <f>SUM(IF(ISBLANK(D43),      (IF((6*(IF(ISBLANK(E43),C43,E43)) + B43) &lt; 0,     0,     (6*(IF(ISBLANK(E43),C43,E43)) + B43)   )),       (IF((6*(IF(ISBLANK(E43),C43,E43)) + D43) &lt; 0,     0,     (6*(IF(ISBLANK(E43),C43,E43)) + D43)   ))  )       *   (P30/3)+(N43))</f>
        <v>23322.932909609131</v>
      </c>
      <c r="Q43" s="70">
        <f>SUM(IF(ISBLANK(D43),      (IF((7*(IF(ISBLANK(E43),C43,E43)) + B43) &lt; 0,     0,     (7*(IF(ISBLANK(E43),C43,E43)) + B43)   )),       (IF((7*(IF(ISBLANK(E43),C43,E43)) + D43) &lt; 0,     0,     (7*(IF(ISBLANK(E43),C43,E43)) + D43)   ))  )       *   (Q30/3)+(P43))</f>
        <v>26465.908084264491</v>
      </c>
      <c r="R43" s="70">
        <f>SUM(IF(ISBLANK(D43),      (IF((8*(IF(ISBLANK(E43),C43,E43)) + B43) &lt; 0,     0,     (8*(IF(ISBLANK(E43),C43,E43)) + B43)   )),       (IF((8*(IF(ISBLANK(E43),C43,E43)) + D43) &lt; 0,     0,     (8*(IF(ISBLANK(E43),C43,E43)) + D43)   ))  )       *   (R30/3)+(Q43))</f>
        <v>27723.929659250323</v>
      </c>
      <c r="S43" s="70">
        <f>SUM(IF(ISBLANK(D43),      (IF((9*(IF(ISBLANK(E43),C43,E43)) + B43) &lt; 0,     0,     (9*(IF(ISBLANK(E43),C43,E43)) + B43)   )),       (IF((9*(IF(ISBLANK(E43),C43,E43)) + D43) &lt; 0,     0,     (9*(IF(ISBLANK(E43),C43,E43)) + D43)   ))  )       *   (S30/3)+(R43))</f>
        <v>27723.929659250323</v>
      </c>
      <c r="T43" s="305">
        <f t="shared" si="148"/>
        <v>315710.10093712283</v>
      </c>
      <c r="U43" s="281">
        <f>SUM(IF(ISBLANK(D43),      (IF((10*(IF(ISBLANK(E43),C43,E43)) + B43) &lt; 0,     0,     (10*(IF(ISBLANK(E43),C43,E43)) + B43)   )),       (IF((10*(IF(ISBLANK(E43),C43,E43)) + D43) &lt; 0,     0,     (10*(IF(ISBLANK(E43),C43,E43)) + D43)   ))  )       *   (U30)+(S43))*12</f>
        <v>332687.15591100388</v>
      </c>
      <c r="V43" s="282">
        <f>SUM(IF(ISBLANK(D43),      (IF((11*(IF(ISBLANK(E43),C43,E43)) + B43) &lt; 0,     0,     (11*(IF(ISBLANK(E43),C43,E43)) + B43)   )),       (IF((11*(IF(ISBLANK(E43),C43,E43)) + D43) &lt; 0,     0,     (11*(IF(ISBLANK(E43),C43,E43)) + D43)   ))  )       *   (V30)+(U43))</f>
        <v>332687.15591100388</v>
      </c>
      <c r="W43" s="283">
        <f>SUM(IF(ISBLANK(D43),      (IF((12*(IF(ISBLANK(E43),C43,E43)) + B43) &lt; 0,     0,     (12*(IF(ISBLANK(E43),C43,E43)) + B43)   )),       (IF((12*(IF(ISBLANK(E43),C43,E43)) + D43) &lt; 0,     0,     (12*(IF(ISBLANK(E43),C43,E43)) + D43)   ))  )       *   (W30)+(V43))</f>
        <v>332687.15591100388</v>
      </c>
      <c r="X43" s="177"/>
      <c r="Y43" s="505">
        <f>SUM(1150+61191+16520+16425+10520+4487)</f>
        <v>110293</v>
      </c>
      <c r="Z43" s="70">
        <f t="shared" si="149"/>
        <v>10000</v>
      </c>
      <c r="AA43" s="70">
        <f t="shared" si="150"/>
        <v>10000</v>
      </c>
      <c r="AB43" s="70">
        <f t="shared" si="151"/>
        <v>10000</v>
      </c>
      <c r="AC43" s="282">
        <f t="shared" si="134"/>
        <v>30000</v>
      </c>
      <c r="AD43" s="74"/>
      <c r="AE43" s="70">
        <f t="shared" si="152"/>
        <v>10000</v>
      </c>
      <c r="AF43" s="70">
        <f t="shared" si="153"/>
        <v>10000</v>
      </c>
      <c r="AG43" s="70">
        <f t="shared" si="154"/>
        <v>10000</v>
      </c>
      <c r="AH43" s="282">
        <f t="shared" si="135"/>
        <v>30000</v>
      </c>
      <c r="AI43" s="74"/>
      <c r="AJ43" s="70">
        <f t="shared" si="155"/>
        <v>10222.909421974044</v>
      </c>
      <c r="AK43" s="70">
        <f t="shared" si="156"/>
        <v>10222.909421974044</v>
      </c>
      <c r="AL43" s="70">
        <f t="shared" si="157"/>
        <v>10222.909421974044</v>
      </c>
      <c r="AM43" s="282">
        <f t="shared" si="136"/>
        <v>30668.728265922131</v>
      </c>
      <c r="AN43" s="74"/>
      <c r="AO43" s="70">
        <f t="shared" si="158"/>
        <v>11002.232657151695</v>
      </c>
      <c r="AP43" s="70">
        <f t="shared" si="159"/>
        <v>11002.232657151695</v>
      </c>
      <c r="AQ43" s="70">
        <f t="shared" si="160"/>
        <v>11002.232657151695</v>
      </c>
      <c r="AR43" s="282">
        <f t="shared" si="137"/>
        <v>33006.697971455083</v>
      </c>
      <c r="AS43" s="74"/>
      <c r="AT43" s="70">
        <f t="shared" si="161"/>
        <v>12261.497587476226</v>
      </c>
      <c r="AU43" s="70">
        <f t="shared" si="162"/>
        <v>12261.497587476226</v>
      </c>
      <c r="AV43" s="70">
        <f t="shared" si="163"/>
        <v>12261.497587476226</v>
      </c>
      <c r="AW43" s="282">
        <f t="shared" si="138"/>
        <v>36784.492762428679</v>
      </c>
      <c r="AX43" s="74"/>
      <c r="AY43" s="70">
        <f t="shared" si="164"/>
        <v>14184.042655727009</v>
      </c>
      <c r="AZ43" s="70">
        <f t="shared" si="165"/>
        <v>14184.042655727009</v>
      </c>
      <c r="BA43" s="70">
        <f t="shared" si="166"/>
        <v>14184.042655727009</v>
      </c>
      <c r="BB43" s="282">
        <f t="shared" si="139"/>
        <v>42552.127967181026</v>
      </c>
      <c r="BC43" s="74"/>
      <c r="BD43" s="70">
        <f t="shared" si="167"/>
        <v>16738.684870927777</v>
      </c>
      <c r="BE43" s="70">
        <f t="shared" si="168"/>
        <v>16738.684870927777</v>
      </c>
      <c r="BF43" s="70">
        <f t="shared" si="169"/>
        <v>16738.684870927777</v>
      </c>
      <c r="BG43" s="282">
        <f t="shared" si="140"/>
        <v>50216.05461278333</v>
      </c>
      <c r="BH43" s="74"/>
      <c r="BI43" s="70">
        <f t="shared" si="170"/>
        <v>19860.346785493246</v>
      </c>
      <c r="BJ43" s="70">
        <f t="shared" si="171"/>
        <v>19860.346785493246</v>
      </c>
      <c r="BK43" s="70">
        <f t="shared" si="172"/>
        <v>19860.346785493246</v>
      </c>
      <c r="BL43" s="282">
        <f t="shared" si="141"/>
        <v>59581.040356479738</v>
      </c>
      <c r="BM43" s="74"/>
      <c r="BN43" s="70">
        <f t="shared" si="173"/>
        <v>23322.932909609131</v>
      </c>
      <c r="BO43" s="70">
        <f t="shared" si="174"/>
        <v>23322.932909609131</v>
      </c>
      <c r="BP43" s="70">
        <f t="shared" si="175"/>
        <v>23322.932909609131</v>
      </c>
      <c r="BQ43" s="282">
        <f t="shared" si="142"/>
        <v>69968.798728827387</v>
      </c>
      <c r="BR43" s="74"/>
      <c r="BS43" s="70">
        <f t="shared" si="176"/>
        <v>26465.908084264491</v>
      </c>
      <c r="BT43" s="70">
        <f t="shared" si="177"/>
        <v>26465.908084264491</v>
      </c>
      <c r="BU43" s="70">
        <f t="shared" si="178"/>
        <v>26465.908084264491</v>
      </c>
      <c r="BV43" s="282">
        <f t="shared" si="143"/>
        <v>79397.724252793472</v>
      </c>
      <c r="BW43" s="74"/>
      <c r="BX43" s="70">
        <f t="shared" si="179"/>
        <v>27723.929659250323</v>
      </c>
      <c r="BY43" s="70">
        <f t="shared" si="180"/>
        <v>27723.929659250323</v>
      </c>
      <c r="BZ43" s="70">
        <f t="shared" si="181"/>
        <v>27723.929659250323</v>
      </c>
      <c r="CA43" s="282">
        <f t="shared" si="144"/>
        <v>83171.78897775097</v>
      </c>
      <c r="CB43" s="74"/>
      <c r="CC43" s="70">
        <f t="shared" si="182"/>
        <v>27723.929659250323</v>
      </c>
      <c r="CD43" s="70">
        <f t="shared" si="183"/>
        <v>27723.929659250323</v>
      </c>
      <c r="CE43" s="70">
        <f t="shared" si="184"/>
        <v>27723.929659250323</v>
      </c>
      <c r="CF43" s="282">
        <f t="shared" si="145"/>
        <v>83171.78897775097</v>
      </c>
      <c r="CG43" s="88"/>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196" t="s">
        <v>276</v>
      </c>
      <c r="B44" s="367">
        <v>5</v>
      </c>
      <c r="C44" s="374">
        <v>0</v>
      </c>
      <c r="D44" s="122"/>
      <c r="E44" s="123"/>
      <c r="F44" s="129">
        <v>6</v>
      </c>
      <c r="G44" s="128">
        <v>5</v>
      </c>
      <c r="H44" s="195">
        <f>SUM((IF(ISBLANK(D44),B44,D44)))</f>
        <v>5</v>
      </c>
      <c r="I44" s="195">
        <f>SUM(H44+(IF(ISBLANK(E44),C44,E44)))</f>
        <v>5</v>
      </c>
      <c r="J44" s="279">
        <f>SUM((F44+G44+H44+I44)/4)</f>
        <v>5.25</v>
      </c>
      <c r="K44" s="195">
        <f>SUM(I44+(IF(ISBLANK(E44),C44,E44)))</f>
        <v>5</v>
      </c>
      <c r="L44" s="195">
        <f>SUM(K44+(IF(ISBLANK(E44),C44,E44)))</f>
        <v>5</v>
      </c>
      <c r="M44" s="195">
        <f>SUM(L44+(IF(ISBLANK(E44),C44,E44)))</f>
        <v>5</v>
      </c>
      <c r="N44" s="195">
        <f>SUM(M44+(IF(ISBLANK(E44),C44,E44)))</f>
        <v>5</v>
      </c>
      <c r="O44" s="279">
        <f>SUM(K44+L44+M44+N44)/4</f>
        <v>5</v>
      </c>
      <c r="P44" s="195">
        <f>SUM(N44+(IF(ISBLANK(E44),C44,E44)))</f>
        <v>5</v>
      </c>
      <c r="Q44" s="195">
        <f>SUM(P44+(IF(ISBLANK(E44),C44,E44)))</f>
        <v>5</v>
      </c>
      <c r="R44" s="195">
        <f>SUM(Q44+(IF(ISBLANK(E44),C44,E44)))</f>
        <v>5</v>
      </c>
      <c r="S44" s="195">
        <f>SUM(R44+(IF(ISBLANK(E44),C44,E44)))</f>
        <v>5</v>
      </c>
      <c r="T44" s="304">
        <f>SUM(P44+Q44+R44+S44)/4</f>
        <v>5</v>
      </c>
      <c r="U44" s="278">
        <f>SUM(S44+(IF(ISBLANK(E44),C44,E44)))</f>
        <v>5</v>
      </c>
      <c r="V44" s="279">
        <f>SUM(U44+(IF(ISBLANK(E44),C44,E44)))</f>
        <v>5</v>
      </c>
      <c r="W44" s="280">
        <f>SUM(V44+(IF(ISBLANK(E44),C44,E44)))</f>
        <v>5</v>
      </c>
      <c r="X44" s="172"/>
      <c r="Y44" s="506">
        <v>1.2</v>
      </c>
      <c r="Z44" s="195">
        <f>F44</f>
        <v>6</v>
      </c>
      <c r="AA44" s="195">
        <f>F44</f>
        <v>6</v>
      </c>
      <c r="AB44" s="195">
        <f>F44</f>
        <v>6</v>
      </c>
      <c r="AC44" s="279">
        <f>SUM((Z44+AA44+AB44)/3)</f>
        <v>6</v>
      </c>
      <c r="AD44" s="85"/>
      <c r="AE44" s="195">
        <f>G44</f>
        <v>5</v>
      </c>
      <c r="AF44" s="195">
        <f>G44</f>
        <v>5</v>
      </c>
      <c r="AG44" s="195">
        <f>G44</f>
        <v>5</v>
      </c>
      <c r="AH44" s="279">
        <f>SUM((AE44+AF44+AG44)/3)</f>
        <v>5</v>
      </c>
      <c r="AI44" s="85"/>
      <c r="AJ44" s="195">
        <f>H44</f>
        <v>5</v>
      </c>
      <c r="AK44" s="195">
        <f>H44</f>
        <v>5</v>
      </c>
      <c r="AL44" s="195">
        <f>H44</f>
        <v>5</v>
      </c>
      <c r="AM44" s="279">
        <f>SUM((AJ44+AK44+AL44)/3)</f>
        <v>5</v>
      </c>
      <c r="AN44" s="85"/>
      <c r="AO44" s="195">
        <f>I44</f>
        <v>5</v>
      </c>
      <c r="AP44" s="195">
        <f>I44</f>
        <v>5</v>
      </c>
      <c r="AQ44" s="195">
        <f>I44</f>
        <v>5</v>
      </c>
      <c r="AR44" s="279">
        <f>SUM((AO44+AP44+AQ44)/3)</f>
        <v>5</v>
      </c>
      <c r="AS44" s="85"/>
      <c r="AT44" s="195">
        <f>K44</f>
        <v>5</v>
      </c>
      <c r="AU44" s="195">
        <f>K44</f>
        <v>5</v>
      </c>
      <c r="AV44" s="195">
        <f>K44</f>
        <v>5</v>
      </c>
      <c r="AW44" s="279">
        <f>SUM((AT44+AU44+AV44)/3)</f>
        <v>5</v>
      </c>
      <c r="AX44" s="85"/>
      <c r="AY44" s="195">
        <f>L44</f>
        <v>5</v>
      </c>
      <c r="AZ44" s="195">
        <f>L44</f>
        <v>5</v>
      </c>
      <c r="BA44" s="195">
        <f>L44</f>
        <v>5</v>
      </c>
      <c r="BB44" s="279">
        <f>SUM((AY44+AZ44+BA44)/3)</f>
        <v>5</v>
      </c>
      <c r="BC44" s="85"/>
      <c r="BD44" s="195">
        <f>M44</f>
        <v>5</v>
      </c>
      <c r="BE44" s="195">
        <f>M44</f>
        <v>5</v>
      </c>
      <c r="BF44" s="195">
        <f>M44</f>
        <v>5</v>
      </c>
      <c r="BG44" s="279">
        <f>SUM((BD44+BE44+BF44)/3)</f>
        <v>5</v>
      </c>
      <c r="BH44" s="85"/>
      <c r="BI44" s="195">
        <f>N44</f>
        <v>5</v>
      </c>
      <c r="BJ44" s="195">
        <f>N44</f>
        <v>5</v>
      </c>
      <c r="BK44" s="195">
        <f>N44</f>
        <v>5</v>
      </c>
      <c r="BL44" s="279">
        <f>SUM((BI44+BJ44+BK44)/3)</f>
        <v>5</v>
      </c>
      <c r="BM44" s="85"/>
      <c r="BN44" s="195">
        <f>P44</f>
        <v>5</v>
      </c>
      <c r="BO44" s="195">
        <f>P44</f>
        <v>5</v>
      </c>
      <c r="BP44" s="195">
        <f>P44</f>
        <v>5</v>
      </c>
      <c r="BQ44" s="279">
        <f>SUM((BN44+BO44+BP44)/3)</f>
        <v>5</v>
      </c>
      <c r="BR44" s="85"/>
      <c r="BS44" s="195">
        <f>Q44</f>
        <v>5</v>
      </c>
      <c r="BT44" s="195">
        <f>Q44</f>
        <v>5</v>
      </c>
      <c r="BU44" s="195">
        <f>Q44</f>
        <v>5</v>
      </c>
      <c r="BV44" s="279">
        <f>SUM((BS44+BT44+BU44)/3)</f>
        <v>5</v>
      </c>
      <c r="BW44" s="85"/>
      <c r="BX44" s="195">
        <f>R44</f>
        <v>5</v>
      </c>
      <c r="BY44" s="195">
        <f>R44</f>
        <v>5</v>
      </c>
      <c r="BZ44" s="195">
        <f>R44</f>
        <v>5</v>
      </c>
      <c r="CA44" s="279">
        <f>SUM((BX44+BY44+BZ44)/3)</f>
        <v>5</v>
      </c>
      <c r="CB44" s="85"/>
      <c r="CC44" s="195">
        <f>S44</f>
        <v>5</v>
      </c>
      <c r="CD44" s="195">
        <f>S44</f>
        <v>5</v>
      </c>
      <c r="CE44" s="195">
        <f>S44</f>
        <v>5</v>
      </c>
      <c r="CF44" s="279">
        <f>SUM((CC44+CD44+CE44)/3)</f>
        <v>5</v>
      </c>
      <c r="CG44" s="87"/>
    </row>
    <row r="45" spans="1:175" s="9" customFormat="1" ht="9.75" customHeight="1" x14ac:dyDescent="0.15">
      <c r="A45" s="61" t="s">
        <v>277</v>
      </c>
      <c r="B45" s="260">
        <v>0.3</v>
      </c>
      <c r="C45" s="305">
        <v>10000000</v>
      </c>
      <c r="D45" s="118"/>
      <c r="E45" s="119"/>
      <c r="F45" s="130">
        <v>0</v>
      </c>
      <c r="G45" s="131">
        <v>0</v>
      </c>
      <c r="H45" s="70">
        <f>SUM(G45+(IF(IF(ISBLANK(D45),B45,D45)*(G30/3)&gt;(IF(ISBLANK(E45),C45,E45)),IF(ISBLANK(E45),C45,E45),IF(ISBLANK(D45),B45,D45)*(G30/3))))</f>
        <v>0</v>
      </c>
      <c r="I45" s="104">
        <f>SUM(G45+(IF(IF(ISBLANK(D45),B45,D45)*(H30/3)&gt;(IF(ISBLANK(E45),C45,E45)),IF(ISBLANK(E45),C45,E45),IF(ISBLANK(D45),B45,D45)*(H30/3))))</f>
        <v>1337.456531844266</v>
      </c>
      <c r="J45" s="282">
        <f t="shared" si="146"/>
        <v>4012.369595532798</v>
      </c>
      <c r="K45" s="70">
        <f>SUM(G45+(IF(IF(ISBLANK(D45),B45,D45)*(I30/3)&gt;(IF(ISBLANK(E45),C45,E45)),IF(ISBLANK(E45),C45,E45),IF(ISBLANK(D45),B45,D45)*(I30/3))))</f>
        <v>5313.5675125748958</v>
      </c>
      <c r="L45" s="70">
        <f>SUM(G45+(IF(IF(ISBLANK(D45),B45,D45)*(K30/3)&gt;(IF(ISBLANK(E45),C45,E45)),IF(ISBLANK(E45),C45,E45),IF(ISBLANK(D45),B45,D45)*(K30/3))))</f>
        <v>9941.5652394041826</v>
      </c>
      <c r="M45" s="70">
        <f>SUM(G45+(IF(IF(ISBLANK(D45),B45,D45)*(L30/3)&gt;(IF(ISBLANK(E45),C45,E45)),IF(ISBLANK(E45),C45,E45),IF(ISBLANK(D45),B45,D45)*(L30/3))))</f>
        <v>18023.860014851089</v>
      </c>
      <c r="N45" s="70">
        <f>SUM(G45+(IF(IF(ISBLANK(D45),B45,D45)*(M30/3)&gt;(IF(ISBLANK(E45),C45,E45)),IF(ISBLANK(E45),C45,E45),IF(ISBLANK(D45),B45,D45)*(M30/3))))</f>
        <v>29476.640944624225</v>
      </c>
      <c r="O45" s="282">
        <f t="shared" si="147"/>
        <v>188266.90113436317</v>
      </c>
      <c r="P45" s="70">
        <f>SUM(G45+(IF(IF(ISBLANK(D45),B45,D45)*(N30/3)&gt;(IF(ISBLANK(E45),C45,E45)),IF(ISBLANK(E45),C45,E45),IF(ISBLANK(D45),B45,D45)*(N30/3))))</f>
        <v>46824.928718482057</v>
      </c>
      <c r="Q45" s="70">
        <f>SUM(G45+(IF(IF(ISBLANK(D45),B45,D45)*(P30/3)&gt;(IF(ISBLANK(E45),C45,E45)),IF(ISBLANK(E45),C45,E45),IF(ISBLANK(D45),B45,D45)*(P30/3))))</f>
        <v>74198.274088197562</v>
      </c>
      <c r="R45" s="70">
        <f>SUM(G45+(IF(IF(ISBLANK(D45),B45,D45)*(Q30/3)&gt;(IF(ISBLANK(E45),C45,E45)),IF(ISBLANK(E45),C45,E45),IF(ISBLANK(D45),B45,D45)*(Q30/3))))</f>
        <v>117861.5690495759</v>
      </c>
      <c r="S45" s="70">
        <f>SUM(G45+(IF(IF(ISBLANK(D45),B45,D45)*(R30/3)&gt;(IF(ISBLANK(E45),C45,E45)),IF(ISBLANK(E45),C45,E45),IF(ISBLANK(D45),B45,D45)*(R30/3))))</f>
        <v>188703.23624787465</v>
      </c>
      <c r="T45" s="305">
        <f t="shared" si="148"/>
        <v>1282764.0243123905</v>
      </c>
      <c r="U45" s="281">
        <f>SUM(G45+(IF(IF(ISBLANK(D45),B45,D45)*(S30)&gt;(IF(ISBLANK(E45),C45,E45)),IF(ISBLANK(E45),C45,E45),IF(ISBLANK(D45),B45,D45)*(S30))))</f>
        <v>917484.33422357414</v>
      </c>
      <c r="V45" s="282">
        <f>SUM(G45+(IF(IF(ISBLANK(D45),B45,D45)*(U30)&gt;(IF(ISBLANK(E45),C45,E45)),IF(ISBLANK(E45),C45,E45),IF(ISBLANK(D45),B45,D45)*(U30))))</f>
        <v>7893510.7031995105</v>
      </c>
      <c r="W45" s="283">
        <f>SUM(G45+(IF(IF(ISBLANK(D45),B45,D45)*(V30)&gt;(IF(ISBLANK(E45),C45,E45)),IF(ISBLANK(E45),C45,E45),IF(ISBLANK(D45),B45,D45)*(V30))))</f>
        <v>10000000</v>
      </c>
      <c r="X45" s="177"/>
      <c r="Y45" s="505">
        <v>0</v>
      </c>
      <c r="Z45" s="70">
        <f t="shared" si="149"/>
        <v>0</v>
      </c>
      <c r="AA45" s="70">
        <f t="shared" si="150"/>
        <v>0</v>
      </c>
      <c r="AB45" s="70">
        <f t="shared" si="151"/>
        <v>0</v>
      </c>
      <c r="AC45" s="282">
        <f>SUM(Z45:AB45)</f>
        <v>0</v>
      </c>
      <c r="AD45" s="74"/>
      <c r="AE45" s="70">
        <f t="shared" si="152"/>
        <v>0</v>
      </c>
      <c r="AF45" s="70">
        <f t="shared" si="153"/>
        <v>0</v>
      </c>
      <c r="AG45" s="70">
        <f t="shared" si="154"/>
        <v>0</v>
      </c>
      <c r="AH45" s="282">
        <f t="shared" si="135"/>
        <v>0</v>
      </c>
      <c r="AI45" s="74"/>
      <c r="AJ45" s="70">
        <f t="shared" si="155"/>
        <v>0</v>
      </c>
      <c r="AK45" s="70">
        <f t="shared" si="156"/>
        <v>0</v>
      </c>
      <c r="AL45" s="70">
        <f t="shared" si="157"/>
        <v>0</v>
      </c>
      <c r="AM45" s="282">
        <f>SUM(AJ45:AL45)</f>
        <v>0</v>
      </c>
      <c r="AN45" s="74"/>
      <c r="AO45" s="70">
        <f t="shared" si="158"/>
        <v>1337.456531844266</v>
      </c>
      <c r="AP45" s="70">
        <f t="shared" si="159"/>
        <v>1337.456531844266</v>
      </c>
      <c r="AQ45" s="70">
        <f t="shared" si="160"/>
        <v>1337.456531844266</v>
      </c>
      <c r="AR45" s="282">
        <f>SUM(AO45:AQ45)</f>
        <v>4012.369595532798</v>
      </c>
      <c r="AS45" s="74"/>
      <c r="AT45" s="70">
        <f t="shared" si="161"/>
        <v>5313.5675125748958</v>
      </c>
      <c r="AU45" s="70">
        <f t="shared" si="162"/>
        <v>5313.5675125748958</v>
      </c>
      <c r="AV45" s="70">
        <f t="shared" si="163"/>
        <v>5313.5675125748958</v>
      </c>
      <c r="AW45" s="282">
        <f>SUM(AT45:AV45)</f>
        <v>15940.702537724686</v>
      </c>
      <c r="AX45" s="74"/>
      <c r="AY45" s="70">
        <f t="shared" si="164"/>
        <v>9941.5652394041826</v>
      </c>
      <c r="AZ45" s="70">
        <f t="shared" si="165"/>
        <v>9941.5652394041826</v>
      </c>
      <c r="BA45" s="70">
        <f t="shared" si="166"/>
        <v>9941.5652394041826</v>
      </c>
      <c r="BB45" s="282">
        <f>SUM(AY45:BA45)</f>
        <v>29824.695718212548</v>
      </c>
      <c r="BC45" s="74"/>
      <c r="BD45" s="70">
        <f t="shared" si="167"/>
        <v>18023.860014851089</v>
      </c>
      <c r="BE45" s="70">
        <f t="shared" si="168"/>
        <v>18023.860014851089</v>
      </c>
      <c r="BF45" s="70">
        <f t="shared" si="169"/>
        <v>18023.860014851089</v>
      </c>
      <c r="BG45" s="282">
        <f>SUM(BD45:BF45)</f>
        <v>54071.580044553266</v>
      </c>
      <c r="BH45" s="74"/>
      <c r="BI45" s="70">
        <f t="shared" si="170"/>
        <v>29476.640944624225</v>
      </c>
      <c r="BJ45" s="70">
        <f t="shared" si="171"/>
        <v>29476.640944624225</v>
      </c>
      <c r="BK45" s="70">
        <f t="shared" si="172"/>
        <v>29476.640944624225</v>
      </c>
      <c r="BL45" s="282">
        <f>SUM(BI45:BK45)</f>
        <v>88429.922833872668</v>
      </c>
      <c r="BM45" s="74"/>
      <c r="BN45" s="70">
        <f t="shared" si="173"/>
        <v>46824.928718482057</v>
      </c>
      <c r="BO45" s="70">
        <f>P45</f>
        <v>46824.928718482057</v>
      </c>
      <c r="BP45" s="70">
        <f t="shared" si="175"/>
        <v>46824.928718482057</v>
      </c>
      <c r="BQ45" s="282">
        <f>SUM(BN45:BP45)</f>
        <v>140474.78615544617</v>
      </c>
      <c r="BR45" s="74"/>
      <c r="BS45" s="70">
        <f t="shared" si="176"/>
        <v>74198.274088197562</v>
      </c>
      <c r="BT45" s="70">
        <f t="shared" si="177"/>
        <v>74198.274088197562</v>
      </c>
      <c r="BU45" s="70">
        <f t="shared" si="178"/>
        <v>74198.274088197562</v>
      </c>
      <c r="BV45" s="282">
        <f>SUM(BS45:BU45)</f>
        <v>222594.82226459269</v>
      </c>
      <c r="BW45" s="74"/>
      <c r="BX45" s="70">
        <f t="shared" si="179"/>
        <v>117861.5690495759</v>
      </c>
      <c r="BY45" s="70">
        <f t="shared" si="180"/>
        <v>117861.5690495759</v>
      </c>
      <c r="BZ45" s="70">
        <f t="shared" si="181"/>
        <v>117861.5690495759</v>
      </c>
      <c r="CA45" s="282">
        <f>SUM(BX45:BZ45)</f>
        <v>353584.70714872773</v>
      </c>
      <c r="CB45" s="74"/>
      <c r="CC45" s="70">
        <f t="shared" si="182"/>
        <v>188703.23624787465</v>
      </c>
      <c r="CD45" s="70">
        <f t="shared" si="183"/>
        <v>188703.23624787465</v>
      </c>
      <c r="CE45" s="70">
        <f t="shared" si="184"/>
        <v>188703.23624787465</v>
      </c>
      <c r="CF45" s="282">
        <f>SUM(CC45:CE45)</f>
        <v>566109.70874362392</v>
      </c>
      <c r="CG45" s="88"/>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1" t="s">
        <v>278</v>
      </c>
      <c r="B46" s="281">
        <v>100000</v>
      </c>
      <c r="C46" s="305"/>
      <c r="D46" s="116"/>
      <c r="E46" s="357"/>
      <c r="F46" s="130">
        <v>1000</v>
      </c>
      <c r="G46" s="131">
        <f>SUM((IF(ISBLANK(D46),B46,D46)/3)*0.35)</f>
        <v>11666.666666666666</v>
      </c>
      <c r="H46" s="70">
        <f>SUM((IF(ISBLANK(D46),B46,D46)/3)*0.3)</f>
        <v>10000</v>
      </c>
      <c r="I46" s="104">
        <f>SUM((IF(ISBLANK(D46),B46,D46)/3)*0.2)</f>
        <v>6666.6666666666679</v>
      </c>
      <c r="J46" s="282">
        <f>SUM(F46:I46)*3</f>
        <v>88000</v>
      </c>
      <c r="K46" s="70">
        <f>SUM((IF(ISBLANK(D46),B46,D46)/3)*0.15)</f>
        <v>5000</v>
      </c>
      <c r="L46" s="70">
        <v>0</v>
      </c>
      <c r="M46" s="70">
        <v>0</v>
      </c>
      <c r="N46" s="70">
        <v>0</v>
      </c>
      <c r="O46" s="282">
        <f>SUM(K46:N46)*3</f>
        <v>15000</v>
      </c>
      <c r="P46" s="70">
        <v>0</v>
      </c>
      <c r="Q46" s="70">
        <v>0</v>
      </c>
      <c r="R46" s="70">
        <v>0</v>
      </c>
      <c r="S46" s="70">
        <v>0</v>
      </c>
      <c r="T46" s="305">
        <f>SUM(P46:S46)*3</f>
        <v>0</v>
      </c>
      <c r="U46" s="281">
        <v>0</v>
      </c>
      <c r="V46" s="282">
        <v>0</v>
      </c>
      <c r="W46" s="283">
        <v>0</v>
      </c>
      <c r="X46" s="177"/>
      <c r="Y46" s="505">
        <v>2000</v>
      </c>
      <c r="Z46" s="70">
        <f t="shared" si="149"/>
        <v>1000</v>
      </c>
      <c r="AA46" s="70">
        <f t="shared" si="150"/>
        <v>1000</v>
      </c>
      <c r="AB46" s="70">
        <f t="shared" si="151"/>
        <v>1000</v>
      </c>
      <c r="AC46" s="282">
        <f>SUM(Z46:AB46)</f>
        <v>3000</v>
      </c>
      <c r="AD46" s="74"/>
      <c r="AE46" s="70">
        <f t="shared" si="152"/>
        <v>11666.666666666666</v>
      </c>
      <c r="AF46" s="70">
        <f t="shared" si="153"/>
        <v>11666.666666666666</v>
      </c>
      <c r="AG46" s="70">
        <f t="shared" si="154"/>
        <v>11666.666666666666</v>
      </c>
      <c r="AH46" s="282">
        <f t="shared" si="135"/>
        <v>35000</v>
      </c>
      <c r="AI46" s="74"/>
      <c r="AJ46" s="70">
        <f t="shared" si="155"/>
        <v>10000</v>
      </c>
      <c r="AK46" s="70">
        <f t="shared" si="156"/>
        <v>10000</v>
      </c>
      <c r="AL46" s="70">
        <f t="shared" si="157"/>
        <v>10000</v>
      </c>
      <c r="AM46" s="282">
        <f>SUM(AJ46:AL46)</f>
        <v>30000</v>
      </c>
      <c r="AN46" s="74"/>
      <c r="AO46" s="70">
        <f t="shared" si="158"/>
        <v>6666.6666666666679</v>
      </c>
      <c r="AP46" s="70">
        <f t="shared" si="159"/>
        <v>6666.6666666666679</v>
      </c>
      <c r="AQ46" s="70">
        <f t="shared" si="160"/>
        <v>6666.6666666666679</v>
      </c>
      <c r="AR46" s="282">
        <f>SUM(AO46:AQ46)</f>
        <v>20000.000000000004</v>
      </c>
      <c r="AS46" s="74"/>
      <c r="AT46" s="70">
        <f t="shared" si="161"/>
        <v>5000</v>
      </c>
      <c r="AU46" s="70">
        <f t="shared" si="162"/>
        <v>5000</v>
      </c>
      <c r="AV46" s="70">
        <f t="shared" si="163"/>
        <v>5000</v>
      </c>
      <c r="AW46" s="282">
        <f>SUM(AT46:AV46)</f>
        <v>15000</v>
      </c>
      <c r="AX46" s="74"/>
      <c r="AY46" s="70">
        <f t="shared" si="164"/>
        <v>0</v>
      </c>
      <c r="AZ46" s="70">
        <f t="shared" si="165"/>
        <v>0</v>
      </c>
      <c r="BA46" s="70">
        <f t="shared" si="166"/>
        <v>0</v>
      </c>
      <c r="BB46" s="282">
        <f>SUM(AY46:BA46)</f>
        <v>0</v>
      </c>
      <c r="BC46" s="74"/>
      <c r="BD46" s="70">
        <f t="shared" si="167"/>
        <v>0</v>
      </c>
      <c r="BE46" s="70">
        <f t="shared" si="168"/>
        <v>0</v>
      </c>
      <c r="BF46" s="70">
        <f t="shared" si="169"/>
        <v>0</v>
      </c>
      <c r="BG46" s="282">
        <f>SUM(BD46:BF46)</f>
        <v>0</v>
      </c>
      <c r="BH46" s="74"/>
      <c r="BI46" s="70">
        <f t="shared" si="170"/>
        <v>0</v>
      </c>
      <c r="BJ46" s="70">
        <f t="shared" si="171"/>
        <v>0</v>
      </c>
      <c r="BK46" s="70">
        <f t="shared" si="172"/>
        <v>0</v>
      </c>
      <c r="BL46" s="282">
        <f>SUM(BI46:BK46)</f>
        <v>0</v>
      </c>
      <c r="BM46" s="74"/>
      <c r="BN46" s="70">
        <f t="shared" si="173"/>
        <v>0</v>
      </c>
      <c r="BO46" s="70">
        <f>P46</f>
        <v>0</v>
      </c>
      <c r="BP46" s="70">
        <f t="shared" si="175"/>
        <v>0</v>
      </c>
      <c r="BQ46" s="282">
        <f>SUM(BN46:BP46)</f>
        <v>0</v>
      </c>
      <c r="BR46" s="74"/>
      <c r="BS46" s="70">
        <f t="shared" si="176"/>
        <v>0</v>
      </c>
      <c r="BT46" s="70">
        <f t="shared" si="177"/>
        <v>0</v>
      </c>
      <c r="BU46" s="70">
        <f t="shared" si="178"/>
        <v>0</v>
      </c>
      <c r="BV46" s="282">
        <f>SUM(BS46:BU46)</f>
        <v>0</v>
      </c>
      <c r="BW46" s="74"/>
      <c r="BX46" s="70">
        <f t="shared" si="179"/>
        <v>0</v>
      </c>
      <c r="BY46" s="70">
        <f t="shared" si="180"/>
        <v>0</v>
      </c>
      <c r="BZ46" s="70">
        <f t="shared" si="181"/>
        <v>0</v>
      </c>
      <c r="CA46" s="282">
        <f>SUM(BX46:BZ46)</f>
        <v>0</v>
      </c>
      <c r="CB46" s="74"/>
      <c r="CC46" s="70">
        <f t="shared" si="182"/>
        <v>0</v>
      </c>
      <c r="CD46" s="70">
        <f t="shared" si="183"/>
        <v>0</v>
      </c>
      <c r="CE46" s="70">
        <f t="shared" si="184"/>
        <v>0</v>
      </c>
      <c r="CF46" s="282">
        <f>SUM(CC46:CE46)</f>
        <v>0</v>
      </c>
      <c r="CG46" s="88"/>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2" t="s">
        <v>207</v>
      </c>
      <c r="B47" s="161"/>
      <c r="C47" s="157"/>
      <c r="D47" s="161"/>
      <c r="E47" s="86"/>
      <c r="F47" s="105">
        <f>AC47</f>
        <v>125482.35642221538</v>
      </c>
      <c r="G47" s="77">
        <f>AH47</f>
        <v>157568.57042458723</v>
      </c>
      <c r="H47" s="77">
        <f>AM47</f>
        <v>159213.44075424972</v>
      </c>
      <c r="I47" s="77">
        <f>AR47</f>
        <v>169333.07109776308</v>
      </c>
      <c r="J47" s="72">
        <f>SUM(F47:I47)</f>
        <v>611597.43869881541</v>
      </c>
      <c r="K47" s="77">
        <f>AW47</f>
        <v>218896.92012181677</v>
      </c>
      <c r="L47" s="77">
        <f>BB47</f>
        <v>257069.93182395905</v>
      </c>
      <c r="M47" s="77">
        <f>BG47</f>
        <v>340230.63492012443</v>
      </c>
      <c r="N47" s="77">
        <f>BL47</f>
        <v>458151.76699771051</v>
      </c>
      <c r="O47" s="72">
        <f>SUM(K47:N47)</f>
        <v>1274349.2538636108</v>
      </c>
      <c r="P47" s="77">
        <f>BQ47</f>
        <v>635460.18323991261</v>
      </c>
      <c r="Q47" s="77">
        <f>BV47</f>
        <v>918849.38778612833</v>
      </c>
      <c r="R47" s="77">
        <f>CA47</f>
        <v>1344831.2535026055</v>
      </c>
      <c r="S47" s="77">
        <f>CF47</f>
        <v>2014490.7874278654</v>
      </c>
      <c r="T47" s="158">
        <f>SUM(P47:S47)</f>
        <v>4913631.6119565126</v>
      </c>
      <c r="U47" s="162">
        <f>SUM(U33:U45)</f>
        <v>17730987.327554278</v>
      </c>
      <c r="V47" s="72">
        <f>SUM(V33:V45)</f>
        <v>47529354.318652876</v>
      </c>
      <c r="W47" s="89">
        <f>SUM(W33:W45)</f>
        <v>103806321.38869916</v>
      </c>
      <c r="X47" s="178"/>
      <c r="Y47" s="509">
        <f>SUM(Y33:Y46)</f>
        <v>1083618.2</v>
      </c>
      <c r="Z47" s="77">
        <f>SUM(Z33:Z46)</f>
        <v>41827.45214073846</v>
      </c>
      <c r="AA47" s="77">
        <f>SUM(AA33:AA46)</f>
        <v>41827.45214073846</v>
      </c>
      <c r="AB47" s="77">
        <f>SUM(AB33:AB46)</f>
        <v>41827.45214073846</v>
      </c>
      <c r="AC47" s="72">
        <f>SUM(Z47:AB47)</f>
        <v>125482.35642221538</v>
      </c>
      <c r="AD47" s="72"/>
      <c r="AE47" s="77">
        <f>SUM(AE33:AE46)</f>
        <v>52522.856808195742</v>
      </c>
      <c r="AF47" s="77">
        <f>SUM(AF33:AF46)</f>
        <v>52522.856808195742</v>
      </c>
      <c r="AG47" s="77">
        <f>SUM(AG33:AG46)</f>
        <v>52522.856808195742</v>
      </c>
      <c r="AH47" s="72">
        <f>SUM(AE47:AG47)</f>
        <v>157568.57042458723</v>
      </c>
      <c r="AI47" s="72"/>
      <c r="AJ47" s="77">
        <f>SUM(AJ33:AJ46)</f>
        <v>53071.146918083243</v>
      </c>
      <c r="AK47" s="77">
        <f>SUM(AK33:AK46)</f>
        <v>53071.146918083243</v>
      </c>
      <c r="AL47" s="77">
        <f>SUM(AL33:AL46)</f>
        <v>53071.146918083243</v>
      </c>
      <c r="AM47" s="72">
        <f>SUM(AJ47:AL47)</f>
        <v>159213.44075424972</v>
      </c>
      <c r="AN47" s="72"/>
      <c r="AO47" s="77">
        <f>SUM(AO33:AO46)</f>
        <v>56444.357032587694</v>
      </c>
      <c r="AP47" s="77">
        <f>SUM(AP33:AP46)</f>
        <v>56444.357032587694</v>
      </c>
      <c r="AQ47" s="77">
        <f>SUM(AQ33:AQ46)</f>
        <v>56444.357032587694</v>
      </c>
      <c r="AR47" s="72">
        <f>SUM(AO47:AQ47)</f>
        <v>169333.07109776308</v>
      </c>
      <c r="AS47" s="72"/>
      <c r="AT47" s="77">
        <f>SUM(AT33:AT46)</f>
        <v>72965.640040605591</v>
      </c>
      <c r="AU47" s="77">
        <f>SUM(AU33:AU46)</f>
        <v>72965.640040605591</v>
      </c>
      <c r="AV47" s="77">
        <f>SUM(AV33:AV46)</f>
        <v>72965.640040605591</v>
      </c>
      <c r="AW47" s="72">
        <f>SUM(AT47:AV47)</f>
        <v>218896.92012181677</v>
      </c>
      <c r="AX47" s="72"/>
      <c r="AY47" s="77">
        <f>SUM(AY33:AY46)</f>
        <v>85689.977274653022</v>
      </c>
      <c r="AZ47" s="77">
        <f>SUM(AZ33:AZ46)</f>
        <v>85689.977274653022</v>
      </c>
      <c r="BA47" s="77">
        <f>SUM(BA33:BA46)</f>
        <v>85689.977274653022</v>
      </c>
      <c r="BB47" s="72">
        <f>SUM(AY47:BA47)</f>
        <v>257069.93182395905</v>
      </c>
      <c r="BC47" s="72"/>
      <c r="BD47" s="77">
        <f>SUM(BD33:BD46)</f>
        <v>113410.21164004147</v>
      </c>
      <c r="BE47" s="77">
        <f>SUM(BE33:BE46)</f>
        <v>113410.21164004147</v>
      </c>
      <c r="BF47" s="77">
        <f>SUM(BF33:BF46)</f>
        <v>113410.21164004147</v>
      </c>
      <c r="BG47" s="72">
        <f>SUM(BD47:BF47)</f>
        <v>340230.63492012443</v>
      </c>
      <c r="BH47" s="72"/>
      <c r="BI47" s="77">
        <f>SUM(BI33:BI46)</f>
        <v>152717.2556659035</v>
      </c>
      <c r="BJ47" s="77">
        <f>SUM(BJ33:BJ46)</f>
        <v>152717.2556659035</v>
      </c>
      <c r="BK47" s="77">
        <f>SUM(BK33:BK46)</f>
        <v>152717.2556659035</v>
      </c>
      <c r="BL47" s="72">
        <f>SUM(BI47:BK47)</f>
        <v>458151.76699771051</v>
      </c>
      <c r="BM47" s="72"/>
      <c r="BN47" s="77">
        <f>SUM(BN33:BN46)</f>
        <v>211820.06107997088</v>
      </c>
      <c r="BO47" s="77">
        <f>SUM(BO33:BO46)</f>
        <v>211820.06107997088</v>
      </c>
      <c r="BP47" s="77">
        <f>SUM(BP33:BP46)</f>
        <v>211820.06107997088</v>
      </c>
      <c r="BQ47" s="72">
        <f>SUM(BN47:BP47)</f>
        <v>635460.18323991261</v>
      </c>
      <c r="BR47" s="72"/>
      <c r="BS47" s="77">
        <f>SUM(BS33:BS46)</f>
        <v>306283.12926204276</v>
      </c>
      <c r="BT47" s="77">
        <f>SUM(BT33:BT46)</f>
        <v>306283.12926204276</v>
      </c>
      <c r="BU47" s="77">
        <f>SUM(BU33:BU46)</f>
        <v>306283.12926204276</v>
      </c>
      <c r="BV47" s="72">
        <f>SUM(BS47:BU47)</f>
        <v>918849.38778612833</v>
      </c>
      <c r="BW47" s="72"/>
      <c r="BX47" s="77">
        <f>SUM(BX33:BX46)</f>
        <v>448277.08450086851</v>
      </c>
      <c r="BY47" s="77">
        <f>SUM(BY33:BY46)</f>
        <v>448277.08450086851</v>
      </c>
      <c r="BZ47" s="77">
        <f>SUM(BZ33:BZ46)</f>
        <v>448277.08450086851</v>
      </c>
      <c r="CA47" s="72">
        <f>SUM(BX47:BZ47)</f>
        <v>1344831.2535026055</v>
      </c>
      <c r="CB47" s="72"/>
      <c r="CC47" s="77">
        <f>SUM(CC33:CC46)</f>
        <v>671496.92914262181</v>
      </c>
      <c r="CD47" s="77">
        <f>SUM(CD33:CD46)</f>
        <v>671496.92914262181</v>
      </c>
      <c r="CE47" s="77">
        <f>SUM(CE33:CE46)</f>
        <v>671496.92914262181</v>
      </c>
      <c r="CF47" s="72">
        <f>SUM(CC47:CE47)</f>
        <v>2014490.7874278654</v>
      </c>
      <c r="CG47" s="89"/>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3"/>
      <c r="B48" s="40"/>
      <c r="C48" s="108"/>
      <c r="D48" s="40"/>
      <c r="E48" s="42"/>
      <c r="F48" s="106"/>
      <c r="G48" s="67"/>
      <c r="H48" s="67"/>
      <c r="I48" s="67"/>
      <c r="J48" s="67"/>
      <c r="K48" s="67"/>
      <c r="L48" s="67"/>
      <c r="M48" s="67"/>
      <c r="N48" s="67"/>
      <c r="O48" s="67"/>
      <c r="P48" s="67"/>
      <c r="Q48" s="67"/>
      <c r="R48" s="67"/>
      <c r="S48" s="67"/>
      <c r="T48" s="159"/>
      <c r="U48" s="163"/>
      <c r="V48" s="67"/>
      <c r="W48" s="68"/>
      <c r="X48" s="167"/>
      <c r="Y48" s="78"/>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80"/>
      <c r="CG48" s="81"/>
    </row>
    <row r="49" spans="1:175" s="9" customFormat="1" ht="15" customHeight="1" thickBot="1" x14ac:dyDescent="0.2">
      <c r="A49" s="132" t="s">
        <v>208</v>
      </c>
      <c r="B49" s="311"/>
      <c r="C49" s="312"/>
      <c r="D49" s="311"/>
      <c r="E49" s="313"/>
      <c r="F49" s="107">
        <f>AC49</f>
        <v>-125482.35642221538</v>
      </c>
      <c r="G49" s="97">
        <f>AH49</f>
        <v>-157568.57042458723</v>
      </c>
      <c r="H49" s="97">
        <f>AM49</f>
        <v>-145838.87543580707</v>
      </c>
      <c r="I49" s="97">
        <f>AR49</f>
        <v>-116197.39597201413</v>
      </c>
      <c r="J49" s="83">
        <f>SUM(F49:I49)</f>
        <v>-545087.1982546238</v>
      </c>
      <c r="K49" s="97">
        <f>AW49</f>
        <v>-119481.26772777493</v>
      </c>
      <c r="L49" s="95">
        <f>BB49</f>
        <v>-76831.331675448164</v>
      </c>
      <c r="M49" s="95">
        <f>BG49</f>
        <v>-45464.225473882165</v>
      </c>
      <c r="N49" s="95">
        <f>BL49</f>
        <v>10097.520187110116</v>
      </c>
      <c r="O49" s="83">
        <f>SUM(K49:N49)</f>
        <v>-231679.30468999513</v>
      </c>
      <c r="P49" s="95">
        <f>BQ49</f>
        <v>106522.55764206301</v>
      </c>
      <c r="Q49" s="95">
        <f>BV49</f>
        <v>259766.30270963069</v>
      </c>
      <c r="R49" s="95">
        <f>CA49</f>
        <v>542201.10897614108</v>
      </c>
      <c r="S49" s="95">
        <f>CF49</f>
        <v>1043790.326650715</v>
      </c>
      <c r="T49" s="308">
        <f>SUM(P49:S49)</f>
        <v>1952280.2959785499</v>
      </c>
      <c r="U49" s="309">
        <f>SUM(U30-U47)</f>
        <v>8580715.0164440908</v>
      </c>
      <c r="V49" s="83">
        <f>SUM(V30-V47)</f>
        <v>41741030.585777424</v>
      </c>
      <c r="W49" s="310">
        <f>SUM(W30-W47)</f>
        <v>126999512.80862586</v>
      </c>
      <c r="X49" s="179"/>
      <c r="Y49" s="510">
        <f>SUM(Y30-Y47)</f>
        <v>-1083618.2</v>
      </c>
      <c r="Z49" s="96">
        <f>Z30-Z47</f>
        <v>-41827.45214073846</v>
      </c>
      <c r="AA49" s="96">
        <f>AA30-AA47</f>
        <v>-41827.45214073846</v>
      </c>
      <c r="AB49" s="96">
        <f>AB30-AB47</f>
        <v>-41827.45214073846</v>
      </c>
      <c r="AC49" s="82">
        <f>AC30-AC47</f>
        <v>-125482.35642221538</v>
      </c>
      <c r="AD49" s="82"/>
      <c r="AE49" s="96">
        <f>AE30-AE47</f>
        <v>-52522.856808195742</v>
      </c>
      <c r="AF49" s="96">
        <f>AF30-AF47</f>
        <v>-52522.856808195742</v>
      </c>
      <c r="AG49" s="96">
        <f>AG30-AG47</f>
        <v>-52522.856808195742</v>
      </c>
      <c r="AH49" s="82">
        <f>AH30-AH47</f>
        <v>-157568.57042458723</v>
      </c>
      <c r="AI49" s="82"/>
      <c r="AJ49" s="96">
        <f>AJ30-AJ47</f>
        <v>-50078.857624213226</v>
      </c>
      <c r="AK49" s="96">
        <f>AK30-AK47</f>
        <v>-48615.295358433978</v>
      </c>
      <c r="AL49" s="96">
        <f>AL30-AL47</f>
        <v>-47144.722453159869</v>
      </c>
      <c r="AM49" s="82">
        <f>AM30-AM47</f>
        <v>-145838.87543580707</v>
      </c>
      <c r="AN49" s="82"/>
      <c r="AO49" s="96">
        <f>AO30-AO47</f>
        <v>-41525.836471202543</v>
      </c>
      <c r="AP49" s="96">
        <f>AP30-AP47</f>
        <v>-38714.053766362194</v>
      </c>
      <c r="AQ49" s="96">
        <f>AQ30-AQ47</f>
        <v>-35957.505734449391</v>
      </c>
      <c r="AR49" s="82">
        <f>AR30-AR47</f>
        <v>-116197.39597201413</v>
      </c>
      <c r="AS49" s="82"/>
      <c r="AT49" s="96">
        <f>AT30-AT47</f>
        <v>-43056.560595844239</v>
      </c>
      <c r="AU49" s="96">
        <f>AU30-AU47</f>
        <v>-39791.145734728671</v>
      </c>
      <c r="AV49" s="96">
        <f>AV30-AV47</f>
        <v>-36633.561397202022</v>
      </c>
      <c r="AW49" s="82">
        <f>AW30-AW47</f>
        <v>-119481.26772777493</v>
      </c>
      <c r="AX49" s="82"/>
      <c r="AY49" s="96">
        <f>AY30-AY47</f>
        <v>-30942.82612749641</v>
      </c>
      <c r="AZ49" s="96">
        <f>AZ30-AZ47</f>
        <v>-25560.156961669149</v>
      </c>
      <c r="BA49" s="96">
        <f>BA30-BA47</f>
        <v>-20328.348586282627</v>
      </c>
      <c r="BB49" s="82">
        <f>BB30-BB47</f>
        <v>-76831.331675448164</v>
      </c>
      <c r="BC49" s="82"/>
      <c r="BD49" s="96">
        <f>BD30-BD47</f>
        <v>-22948.697396813455</v>
      </c>
      <c r="BE49" s="96">
        <f>BE30-BE47</f>
        <v>-15104.977890914437</v>
      </c>
      <c r="BF49" s="96">
        <f>BF30-BF47</f>
        <v>-7410.5501861542434</v>
      </c>
      <c r="BG49" s="82">
        <f>BG30-BG47</f>
        <v>-45464.225473882165</v>
      </c>
      <c r="BH49" s="82"/>
      <c r="BI49" s="96">
        <f>BI30-BI47</f>
        <v>-10588.896443066915</v>
      </c>
      <c r="BJ49" s="96">
        <f>BJ30-BJ47</f>
        <v>3412.6952648508886</v>
      </c>
      <c r="BK49" s="96">
        <f>BK30-BK47</f>
        <v>17273.721365326172</v>
      </c>
      <c r="BL49" s="82">
        <f>BL30-BL47</f>
        <v>10097.520187110116</v>
      </c>
      <c r="BM49" s="82"/>
      <c r="BN49" s="96">
        <f>BN30-BN47</f>
        <v>11456.483537641499</v>
      </c>
      <c r="BO49" s="96">
        <f>BO30-BO47</f>
        <v>35515.919577895955</v>
      </c>
      <c r="BP49" s="96">
        <f>BP30-BP47</f>
        <v>59550.154526525555</v>
      </c>
      <c r="BQ49" s="82">
        <f>BQ30-BQ47</f>
        <v>106522.55764206301</v>
      </c>
      <c r="BR49" s="82"/>
      <c r="BS49" s="96">
        <f>BS30-BS47</f>
        <v>45513.319557571493</v>
      </c>
      <c r="BT49" s="96">
        <f>BT30-BT47</f>
        <v>86480.317714665725</v>
      </c>
      <c r="BU49" s="96">
        <f>BU30-BU47</f>
        <v>127772.66543739359</v>
      </c>
      <c r="BV49" s="82">
        <f>BV30-BV47</f>
        <v>259766.30270963069</v>
      </c>
      <c r="BW49" s="82"/>
      <c r="BX49" s="96">
        <f>BX30-BX47</f>
        <v>110222.68450868555</v>
      </c>
      <c r="BY49" s="96">
        <f>BY30-BY47</f>
        <v>180338.07323320647</v>
      </c>
      <c r="BZ49" s="96">
        <f>BZ30-BZ47</f>
        <v>251640.35123424901</v>
      </c>
      <c r="CA49" s="82">
        <f>CA30-CA47</f>
        <v>542201.10897614108</v>
      </c>
      <c r="CB49" s="82"/>
      <c r="CC49" s="96">
        <f>CC30-CC47</f>
        <v>225794.79299990588</v>
      </c>
      <c r="CD49" s="96">
        <f>CD30-CD47</f>
        <v>346884.32629624568</v>
      </c>
      <c r="CE49" s="96">
        <f>CE30-CE47</f>
        <v>471111.20735456352</v>
      </c>
      <c r="CF49" s="83">
        <f>CF30-CF47</f>
        <v>1043790.326650715</v>
      </c>
      <c r="CG49" s="310"/>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15"/>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58"/>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15"/>
      <c r="B54" s="200"/>
      <c r="C54" s="200"/>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53" t="s">
        <v>52</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48"/>
      <c r="E56" s="17"/>
      <c r="F56" s="23"/>
      <c r="G56" s="23"/>
      <c r="H56" s="23"/>
      <c r="I56" s="23"/>
      <c r="J56" s="353" t="s">
        <v>52</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53" t="s">
        <v>52</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53"/>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53"/>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59"/>
      <c r="C60" s="12"/>
      <c r="D60" s="19"/>
      <c r="E60" s="12"/>
      <c r="F60" s="23"/>
      <c r="G60" s="23"/>
      <c r="H60" s="23"/>
      <c r="I60" s="23"/>
      <c r="J60" s="353"/>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59"/>
      <c r="C61" s="12"/>
      <c r="D61" s="19"/>
      <c r="E61" s="12"/>
      <c r="F61" s="23"/>
      <c r="G61" s="23"/>
      <c r="H61" s="23"/>
      <c r="I61" s="23"/>
      <c r="J61" s="353"/>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53" t="s">
        <v>52</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51"/>
      <c r="G63" s="351"/>
      <c r="H63" s="351"/>
      <c r="I63" s="351"/>
      <c r="J63" s="352" t="s">
        <v>52</v>
      </c>
      <c r="K63" s="26"/>
      <c r="L63" s="26"/>
      <c r="M63" s="26"/>
      <c r="N63" s="26"/>
      <c r="O63" s="26"/>
      <c r="P63" s="26"/>
      <c r="Q63" s="26"/>
      <c r="R63" s="26"/>
      <c r="S63" s="26"/>
      <c r="T63" s="26"/>
      <c r="U63" s="26"/>
      <c r="V63" s="26"/>
      <c r="W63" s="26"/>
      <c r="X63" s="26"/>
      <c r="Y63" s="26"/>
      <c r="Z63" s="12"/>
      <c r="AA63" s="13"/>
      <c r="AB63" s="13"/>
      <c r="AC63" s="13"/>
      <c r="AD63" s="111"/>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59"/>
      <c r="C64" s="12"/>
      <c r="D64" s="19"/>
      <c r="E64" s="12"/>
      <c r="F64" s="351"/>
      <c r="G64" s="351"/>
      <c r="H64" s="351"/>
      <c r="I64" s="351"/>
      <c r="J64" s="352"/>
      <c r="K64" s="26"/>
      <c r="L64" s="26"/>
      <c r="M64" s="26"/>
      <c r="N64" s="26"/>
      <c r="O64" s="26"/>
      <c r="P64" s="26"/>
      <c r="Q64" s="26"/>
      <c r="R64" s="26"/>
      <c r="S64" s="26"/>
      <c r="T64" s="26"/>
      <c r="U64" s="26"/>
      <c r="V64" s="26"/>
      <c r="W64" s="26"/>
      <c r="X64" s="26"/>
      <c r="Y64" s="26"/>
      <c r="Z64" s="12"/>
      <c r="AA64" s="13"/>
      <c r="AB64" s="13"/>
      <c r="AC64" s="13"/>
      <c r="AD64" s="111"/>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54" t="s">
        <v>52</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53" t="s">
        <v>52</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53" t="s">
        <v>52</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59"/>
      <c r="C68" s="12"/>
      <c r="D68" s="12"/>
      <c r="E68" s="12"/>
      <c r="F68" s="23"/>
      <c r="G68" s="23"/>
      <c r="H68" s="23"/>
      <c r="I68" s="23"/>
      <c r="J68" s="353"/>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52"/>
      <c r="K69" s="26"/>
      <c r="L69" s="26"/>
      <c r="M69" s="26"/>
      <c r="N69" s="26"/>
      <c r="O69" s="26"/>
      <c r="P69" s="26"/>
      <c r="Q69" s="26"/>
      <c r="R69" s="26"/>
      <c r="S69" s="26"/>
      <c r="T69" s="26"/>
      <c r="U69" s="26"/>
      <c r="V69" s="26"/>
      <c r="W69" s="26"/>
      <c r="X69" s="26"/>
      <c r="Y69" s="26"/>
      <c r="Z69" s="12"/>
      <c r="AA69" s="13"/>
      <c r="AB69" s="13"/>
      <c r="AC69" s="13"/>
      <c r="AD69" s="111"/>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52"/>
      <c r="K70" s="26"/>
      <c r="L70" s="26"/>
      <c r="M70" s="26"/>
      <c r="N70" s="26"/>
      <c r="O70" s="26"/>
      <c r="P70" s="26"/>
      <c r="Q70" s="26"/>
      <c r="R70" s="26"/>
      <c r="S70" s="26"/>
      <c r="T70" s="26"/>
      <c r="U70" s="26"/>
      <c r="V70" s="26"/>
      <c r="W70" s="26"/>
      <c r="X70" s="26"/>
      <c r="Y70" s="26"/>
      <c r="Z70" s="12"/>
      <c r="AA70" s="13"/>
      <c r="AB70" s="13"/>
      <c r="AC70" s="13"/>
      <c r="AD70" s="111"/>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199"/>
      <c r="B71" s="12"/>
      <c r="C71" s="12"/>
      <c r="D71" s="12"/>
      <c r="E71" s="12"/>
      <c r="F71" s="23"/>
      <c r="G71" s="23"/>
      <c r="H71" s="23"/>
      <c r="I71" s="23"/>
      <c r="J71" s="353" t="s">
        <v>52</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01"/>
      <c r="B72" s="14"/>
      <c r="C72" s="14"/>
      <c r="F72" s="27"/>
      <c r="G72" s="27"/>
      <c r="H72" s="27"/>
      <c r="I72" s="27"/>
      <c r="J72" s="354" t="s">
        <v>52</v>
      </c>
      <c r="K72" s="27"/>
      <c r="L72" s="27"/>
      <c r="M72" s="27"/>
      <c r="N72" s="27"/>
      <c r="O72" s="27"/>
      <c r="P72" s="27"/>
      <c r="Q72" s="27"/>
      <c r="R72" s="27"/>
      <c r="S72" s="27"/>
      <c r="T72" s="27"/>
      <c r="U72" s="27"/>
      <c r="V72" s="27"/>
      <c r="W72" s="27"/>
      <c r="X72" s="27"/>
      <c r="Y72" s="27"/>
    </row>
    <row r="73" spans="1:85" x14ac:dyDescent="0.2">
      <c r="A73" s="12"/>
      <c r="B73" s="12"/>
      <c r="C73" s="200"/>
      <c r="D73" s="8"/>
      <c r="E73" s="8"/>
      <c r="F73" s="27"/>
      <c r="G73" s="27"/>
      <c r="H73" s="27"/>
      <c r="I73" s="27"/>
      <c r="J73" s="354" t="s">
        <v>52</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54" t="s">
        <v>52</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54"/>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53" t="s">
        <v>52</v>
      </c>
      <c r="K76" s="28"/>
      <c r="L76" s="28"/>
      <c r="M76" s="28"/>
      <c r="N76" s="28"/>
      <c r="O76" s="28"/>
      <c r="P76" s="28"/>
      <c r="Q76" s="28"/>
      <c r="R76" s="28"/>
      <c r="S76" s="28"/>
      <c r="T76" s="28"/>
      <c r="U76" s="28"/>
      <c r="V76" s="28"/>
      <c r="W76" s="28"/>
      <c r="X76" s="28"/>
      <c r="Y76" s="28"/>
    </row>
    <row r="77" spans="1:85" s="9" customFormat="1" ht="11.25" customHeight="1" x14ac:dyDescent="0.15">
      <c r="A77" s="199"/>
      <c r="B77" s="12"/>
      <c r="C77" s="12"/>
      <c r="D77" s="12"/>
      <c r="E77" s="12"/>
      <c r="F77" s="24"/>
      <c r="G77" s="24"/>
      <c r="H77" s="24"/>
      <c r="I77" s="24"/>
      <c r="J77" s="353" t="s">
        <v>52</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52" t="s">
        <v>52</v>
      </c>
      <c r="K78" s="27"/>
      <c r="L78" s="27"/>
      <c r="M78" s="27"/>
      <c r="N78" s="27"/>
      <c r="O78" s="27"/>
      <c r="P78" s="27"/>
      <c r="Q78" s="27"/>
      <c r="R78" s="27"/>
      <c r="S78" s="27"/>
      <c r="T78" s="27"/>
      <c r="U78" s="27"/>
      <c r="V78" s="27"/>
      <c r="W78" s="27"/>
      <c r="X78" s="27"/>
      <c r="Y78" s="27"/>
    </row>
    <row r="79" spans="1:85" x14ac:dyDescent="0.2">
      <c r="F79" s="27"/>
      <c r="G79" s="27"/>
      <c r="H79" s="27"/>
      <c r="I79" s="27"/>
      <c r="J79" s="353" t="s">
        <v>52</v>
      </c>
      <c r="K79" s="27"/>
      <c r="L79" s="27"/>
      <c r="M79" s="27"/>
      <c r="N79" s="27"/>
      <c r="O79" s="27"/>
      <c r="P79" s="27"/>
      <c r="Q79" s="27"/>
      <c r="R79" s="27"/>
      <c r="S79" s="27"/>
      <c r="T79" s="27"/>
      <c r="U79" s="27"/>
      <c r="V79" s="27"/>
      <c r="W79" s="27"/>
      <c r="X79" s="27"/>
      <c r="Y79" s="27"/>
    </row>
    <row r="80" spans="1:85" x14ac:dyDescent="0.2">
      <c r="F80" s="29"/>
      <c r="G80" s="29"/>
      <c r="H80" s="29"/>
      <c r="I80" s="29"/>
      <c r="J80" s="353" t="s">
        <v>52</v>
      </c>
      <c r="K80" s="29"/>
      <c r="L80" s="29"/>
      <c r="M80" s="29"/>
      <c r="N80" s="29"/>
      <c r="O80" s="29"/>
      <c r="P80" s="29"/>
      <c r="Q80" s="29"/>
      <c r="R80" s="29"/>
      <c r="S80" s="29"/>
      <c r="T80" s="29"/>
      <c r="U80" s="29"/>
      <c r="V80" s="29"/>
      <c r="W80" s="29"/>
      <c r="X80" s="29"/>
      <c r="Y80" s="29"/>
    </row>
    <row r="81" spans="1:25" x14ac:dyDescent="0.2">
      <c r="F81" s="27"/>
      <c r="G81" s="27"/>
      <c r="H81" s="27"/>
      <c r="I81" s="27"/>
      <c r="J81" s="353" t="s">
        <v>52</v>
      </c>
      <c r="K81" s="27"/>
      <c r="L81" s="27"/>
      <c r="M81" s="27"/>
      <c r="N81" s="27"/>
      <c r="O81" s="27"/>
      <c r="P81" s="27"/>
      <c r="Q81" s="27"/>
      <c r="R81" s="27"/>
      <c r="S81" s="27"/>
      <c r="T81" s="27"/>
      <c r="U81" s="27"/>
      <c r="V81" s="27"/>
      <c r="W81" s="27"/>
      <c r="X81" s="27"/>
      <c r="Y81" s="27"/>
    </row>
    <row r="82" spans="1:25" x14ac:dyDescent="0.2">
      <c r="J82" s="353" t="s">
        <v>52</v>
      </c>
    </row>
    <row r="83" spans="1:25" x14ac:dyDescent="0.2">
      <c r="J83" s="353" t="s">
        <v>52</v>
      </c>
    </row>
    <row r="84" spans="1:25" x14ac:dyDescent="0.2">
      <c r="C84" s="3" t="s">
        <v>225</v>
      </c>
      <c r="J84" s="352" t="s">
        <v>52</v>
      </c>
      <c r="M84" s="3" t="s">
        <v>226</v>
      </c>
    </row>
    <row r="85" spans="1:25" x14ac:dyDescent="0.2">
      <c r="J85" s="353" t="s">
        <v>52</v>
      </c>
    </row>
    <row r="86" spans="1:25" x14ac:dyDescent="0.2">
      <c r="J86" s="353" t="s">
        <v>52</v>
      </c>
    </row>
    <row r="87" spans="1:25" x14ac:dyDescent="0.2">
      <c r="J87" s="353" t="s">
        <v>52</v>
      </c>
    </row>
    <row r="88" spans="1:25" x14ac:dyDescent="0.2">
      <c r="A88" s="3"/>
      <c r="D88" s="3"/>
      <c r="E88" s="3"/>
      <c r="J88" s="353" t="s">
        <v>52</v>
      </c>
    </row>
    <row r="89" spans="1:25" x14ac:dyDescent="0.2">
      <c r="J89" s="353" t="s">
        <v>52</v>
      </c>
    </row>
    <row r="90" spans="1:25" x14ac:dyDescent="0.2">
      <c r="J90" s="353" t="s">
        <v>52</v>
      </c>
    </row>
    <row r="91" spans="1:25" x14ac:dyDescent="0.2">
      <c r="J91" s="353" t="s">
        <v>52</v>
      </c>
    </row>
    <row r="92" spans="1:25" x14ac:dyDescent="0.2">
      <c r="J92" s="353" t="s">
        <v>52</v>
      </c>
    </row>
    <row r="93" spans="1:25" x14ac:dyDescent="0.2">
      <c r="J93" s="353" t="s">
        <v>52</v>
      </c>
    </row>
    <row r="94" spans="1:25" x14ac:dyDescent="0.2">
      <c r="F94" s="3"/>
      <c r="G94" s="3"/>
      <c r="H94" s="3"/>
      <c r="I94" s="3"/>
      <c r="J94" s="354" t="s">
        <v>52</v>
      </c>
      <c r="K94" s="3"/>
      <c r="L94" s="3"/>
      <c r="M94" s="3"/>
      <c r="N94" s="3"/>
      <c r="O94" s="3"/>
      <c r="P94" s="3"/>
      <c r="Q94" s="3"/>
      <c r="R94" s="3"/>
      <c r="S94" s="3"/>
      <c r="T94" s="3"/>
      <c r="U94" s="3"/>
      <c r="V94" s="3"/>
      <c r="W94" s="3"/>
      <c r="X94" s="4"/>
      <c r="Y94" s="3"/>
    </row>
    <row r="95" spans="1:25" x14ac:dyDescent="0.2">
      <c r="J95" s="354" t="s">
        <v>52</v>
      </c>
    </row>
    <row r="96" spans="1:25" x14ac:dyDescent="0.2">
      <c r="J96" s="354"/>
    </row>
    <row r="97" spans="3:28" x14ac:dyDescent="0.2">
      <c r="J97" s="354"/>
    </row>
    <row r="104" spans="3:28" ht="15" x14ac:dyDescent="0.25">
      <c r="D104" s="133"/>
      <c r="E104" s="133"/>
      <c r="F104" s="134"/>
      <c r="G104" s="135"/>
      <c r="H104" s="134"/>
      <c r="I104" s="133"/>
      <c r="J104" s="134"/>
      <c r="K104" s="133"/>
      <c r="L104" s="134"/>
      <c r="M104" s="133"/>
      <c r="N104" s="134"/>
      <c r="O104" s="133"/>
      <c r="P104" s="134"/>
      <c r="Q104"/>
      <c r="R104"/>
      <c r="S104"/>
      <c r="T104"/>
      <c r="U104"/>
      <c r="V104"/>
      <c r="W104"/>
      <c r="X104" s="166"/>
      <c r="Y104"/>
      <c r="Z104"/>
      <c r="AA104"/>
      <c r="AB104"/>
    </row>
    <row r="112" spans="3:28" x14ac:dyDescent="0.2">
      <c r="C112" s="3" t="s">
        <v>230</v>
      </c>
      <c r="M112" s="3"/>
    </row>
    <row r="178" spans="12:12" x14ac:dyDescent="0.2">
      <c r="L178" s="3" t="s">
        <v>238</v>
      </c>
    </row>
  </sheetData>
  <mergeCells count="12">
    <mergeCell ref="U2:W2"/>
    <mergeCell ref="D4:E4"/>
    <mergeCell ref="D29:E29"/>
    <mergeCell ref="A1:A2"/>
    <mergeCell ref="B1:C1"/>
    <mergeCell ref="D1:E1"/>
    <mergeCell ref="F1:I1"/>
    <mergeCell ref="K1:N1"/>
    <mergeCell ref="P1:S1"/>
    <mergeCell ref="B2:C2"/>
    <mergeCell ref="D2:E2"/>
    <mergeCell ref="B29:C29"/>
  </mergeCells>
  <conditionalFormatting sqref="F49:I49 K49:N49 P49:S49 Z49:AB49 AE49:AG49 AJ49:AL49 AO49:AQ49 AY49:BA49 BD49:BF49 BI49:BK49 BN49:BP49 BS49:BU49 BX49:BZ49 CC49:CE49">
    <cfRule type="cellIs" dxfId="29" priority="5" operator="lessThan">
      <formula>0</formula>
    </cfRule>
    <cfRule type="cellIs" dxfId="28" priority="6" operator="greaterThan">
      <formula>0</formula>
    </cfRule>
  </conditionalFormatting>
  <conditionalFormatting sqref="F49:I49 K49:N49 P49:S49 Z49:AB49 AE49:AG49 AJ49:AL49 AO49:AQ49 AY49:BA49 BD49:BF49 BI49:BK49 BN49:BP49 BS49:BU49 BX49:BZ49 CC49:CE49 AT49:AV49">
    <cfRule type="cellIs" dxfId="27" priority="3" operator="lessThan">
      <formula>0</formula>
    </cfRule>
    <cfRule type="cellIs" dxfId="26" priority="4" operator="greaterThan">
      <formula>0</formula>
    </cfRule>
  </conditionalFormatting>
  <conditionalFormatting sqref="U49:W49">
    <cfRule type="cellIs" dxfId="25" priority="1" operator="lessThan">
      <formula>0</formula>
    </cfRule>
    <cfRule type="cellIs" dxfId="24"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A59" sqref="A59"/>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34" t="s">
        <v>171</v>
      </c>
      <c r="B1" s="636" t="s">
        <v>172</v>
      </c>
      <c r="C1" s="637"/>
      <c r="D1" s="638" t="s">
        <v>150</v>
      </c>
      <c r="E1" s="639"/>
      <c r="F1" s="627" t="s">
        <v>212</v>
      </c>
      <c r="G1" s="628"/>
      <c r="H1" s="628"/>
      <c r="I1" s="629"/>
      <c r="J1" s="44">
        <v>2019</v>
      </c>
      <c r="K1" s="627" t="s">
        <v>213</v>
      </c>
      <c r="L1" s="628"/>
      <c r="M1" s="628"/>
      <c r="N1" s="629"/>
      <c r="O1" s="44">
        <v>2020</v>
      </c>
      <c r="P1" s="627" t="s">
        <v>253</v>
      </c>
      <c r="Q1" s="628"/>
      <c r="R1" s="628"/>
      <c r="S1" s="629"/>
      <c r="T1" s="94">
        <v>2021</v>
      </c>
      <c r="U1" s="164">
        <v>2022</v>
      </c>
      <c r="V1" s="44">
        <v>2023</v>
      </c>
      <c r="W1" s="165">
        <v>2024</v>
      </c>
      <c r="X1" s="170"/>
      <c r="Y1" s="511" t="s">
        <v>270</v>
      </c>
      <c r="Z1" s="38">
        <v>2019</v>
      </c>
      <c r="AA1" s="38">
        <v>2019</v>
      </c>
      <c r="AB1" s="38">
        <v>2019</v>
      </c>
      <c r="AC1" s="44" t="s">
        <v>11</v>
      </c>
      <c r="AD1" s="44" t="s">
        <v>11</v>
      </c>
      <c r="AE1" s="38">
        <v>2019</v>
      </c>
      <c r="AF1" s="38">
        <v>2019</v>
      </c>
      <c r="AG1" s="38">
        <v>2019</v>
      </c>
      <c r="AH1" s="44" t="s">
        <v>12</v>
      </c>
      <c r="AI1" s="44" t="s">
        <v>12</v>
      </c>
      <c r="AJ1" s="38">
        <v>2019</v>
      </c>
      <c r="AK1" s="38">
        <v>2019</v>
      </c>
      <c r="AL1" s="38">
        <v>2019</v>
      </c>
      <c r="AM1" s="44" t="s">
        <v>13</v>
      </c>
      <c r="AN1" s="44" t="s">
        <v>13</v>
      </c>
      <c r="AO1" s="38">
        <v>2019</v>
      </c>
      <c r="AP1" s="38">
        <v>2019</v>
      </c>
      <c r="AQ1" s="38">
        <v>2019</v>
      </c>
      <c r="AR1" s="44" t="s">
        <v>10</v>
      </c>
      <c r="AS1" s="44" t="s">
        <v>10</v>
      </c>
      <c r="AT1" s="38">
        <v>2020</v>
      </c>
      <c r="AU1" s="37">
        <v>2020</v>
      </c>
      <c r="AV1" s="37">
        <v>2020</v>
      </c>
      <c r="AW1" s="44" t="s">
        <v>9</v>
      </c>
      <c r="AX1" s="44" t="s">
        <v>9</v>
      </c>
      <c r="AY1" s="37">
        <v>2020</v>
      </c>
      <c r="AZ1" s="37">
        <v>2020</v>
      </c>
      <c r="BA1" s="37">
        <v>2020</v>
      </c>
      <c r="BB1" s="44" t="s">
        <v>8</v>
      </c>
      <c r="BC1" s="44" t="s">
        <v>8</v>
      </c>
      <c r="BD1" s="37">
        <v>2020</v>
      </c>
      <c r="BE1" s="37">
        <v>2020</v>
      </c>
      <c r="BF1" s="37">
        <v>2020</v>
      </c>
      <c r="BG1" s="44" t="s">
        <v>15</v>
      </c>
      <c r="BH1" s="44" t="s">
        <v>15</v>
      </c>
      <c r="BI1" s="39">
        <v>2020</v>
      </c>
      <c r="BJ1" s="39">
        <v>2020</v>
      </c>
      <c r="BK1" s="39">
        <v>2020</v>
      </c>
      <c r="BL1" s="44" t="s">
        <v>16</v>
      </c>
      <c r="BM1" s="44" t="s">
        <v>16</v>
      </c>
      <c r="BN1" s="39">
        <v>2021</v>
      </c>
      <c r="BO1" s="39">
        <v>2021</v>
      </c>
      <c r="BP1" s="39">
        <v>2021</v>
      </c>
      <c r="BQ1" s="44" t="s">
        <v>256</v>
      </c>
      <c r="BR1" s="44" t="s">
        <v>256</v>
      </c>
      <c r="BS1" s="39">
        <v>2021</v>
      </c>
      <c r="BT1" s="39">
        <v>2021</v>
      </c>
      <c r="BU1" s="39">
        <v>2021</v>
      </c>
      <c r="BV1" s="44" t="s">
        <v>257</v>
      </c>
      <c r="BW1" s="44" t="s">
        <v>257</v>
      </c>
      <c r="BX1" s="39">
        <v>2021</v>
      </c>
      <c r="BY1" s="39">
        <v>2021</v>
      </c>
      <c r="BZ1" s="39">
        <v>2021</v>
      </c>
      <c r="CA1" s="44" t="s">
        <v>258</v>
      </c>
      <c r="CB1" s="44" t="s">
        <v>258</v>
      </c>
      <c r="CC1" s="39">
        <v>2021</v>
      </c>
      <c r="CD1" s="39">
        <v>2021</v>
      </c>
      <c r="CE1" s="39">
        <v>2021</v>
      </c>
      <c r="CF1" s="44" t="s">
        <v>255</v>
      </c>
      <c r="CG1" s="44" t="s">
        <v>255</v>
      </c>
    </row>
    <row r="2" spans="1:175" s="2" customFormat="1" ht="10.5" customHeight="1" thickBot="1" x14ac:dyDescent="0.25">
      <c r="A2" s="635"/>
      <c r="B2" s="721" t="s">
        <v>152</v>
      </c>
      <c r="C2" s="722"/>
      <c r="D2" s="632" t="s">
        <v>173</v>
      </c>
      <c r="E2" s="633"/>
      <c r="F2" s="93" t="s">
        <v>53</v>
      </c>
      <c r="G2" s="90" t="s">
        <v>54</v>
      </c>
      <c r="H2" s="90" t="s">
        <v>6</v>
      </c>
      <c r="I2" s="91" t="s">
        <v>7</v>
      </c>
      <c r="J2" s="92" t="s">
        <v>214</v>
      </c>
      <c r="K2" s="93" t="s">
        <v>4</v>
      </c>
      <c r="L2" s="90" t="s">
        <v>5</v>
      </c>
      <c r="M2" s="90" t="s">
        <v>6</v>
      </c>
      <c r="N2" s="91" t="s">
        <v>7</v>
      </c>
      <c r="O2" s="92" t="s">
        <v>214</v>
      </c>
      <c r="P2" s="93" t="s">
        <v>4</v>
      </c>
      <c r="Q2" s="90" t="s">
        <v>5</v>
      </c>
      <c r="R2" s="90" t="s">
        <v>6</v>
      </c>
      <c r="S2" s="91" t="s">
        <v>7</v>
      </c>
      <c r="T2" s="156" t="s">
        <v>214</v>
      </c>
      <c r="U2" s="640" t="s">
        <v>254</v>
      </c>
      <c r="V2" s="641"/>
      <c r="W2" s="642"/>
      <c r="X2" s="171"/>
      <c r="Y2" s="513" t="s">
        <v>215</v>
      </c>
      <c r="Z2" s="47" t="s">
        <v>216</v>
      </c>
      <c r="AA2" s="48" t="s">
        <v>224</v>
      </c>
      <c r="AB2" s="48" t="s">
        <v>217</v>
      </c>
      <c r="AC2" s="49" t="s">
        <v>223</v>
      </c>
      <c r="AD2" s="49" t="s">
        <v>14</v>
      </c>
      <c r="AE2" s="48" t="s">
        <v>0</v>
      </c>
      <c r="AF2" s="48" t="s">
        <v>218</v>
      </c>
      <c r="AG2" s="48" t="s">
        <v>219</v>
      </c>
      <c r="AH2" s="49" t="s">
        <v>223</v>
      </c>
      <c r="AI2" s="49" t="s">
        <v>14</v>
      </c>
      <c r="AJ2" s="48" t="s">
        <v>220</v>
      </c>
      <c r="AK2" s="48" t="s">
        <v>1</v>
      </c>
      <c r="AL2" s="48" t="s">
        <v>2</v>
      </c>
      <c r="AM2" s="49" t="s">
        <v>223</v>
      </c>
      <c r="AN2" s="49" t="s">
        <v>14</v>
      </c>
      <c r="AO2" s="48" t="s">
        <v>221</v>
      </c>
      <c r="AP2" s="48" t="s">
        <v>3</v>
      </c>
      <c r="AQ2" s="48" t="s">
        <v>222</v>
      </c>
      <c r="AR2" s="49" t="s">
        <v>223</v>
      </c>
      <c r="AS2" s="49" t="s">
        <v>14</v>
      </c>
      <c r="AT2" s="47" t="s">
        <v>216</v>
      </c>
      <c r="AU2" s="48" t="s">
        <v>224</v>
      </c>
      <c r="AV2" s="48" t="s">
        <v>217</v>
      </c>
      <c r="AW2" s="49" t="s">
        <v>223</v>
      </c>
      <c r="AX2" s="49" t="s">
        <v>14</v>
      </c>
      <c r="AY2" s="48" t="s">
        <v>0</v>
      </c>
      <c r="AZ2" s="48" t="s">
        <v>218</v>
      </c>
      <c r="BA2" s="48" t="s">
        <v>219</v>
      </c>
      <c r="BB2" s="49" t="s">
        <v>223</v>
      </c>
      <c r="BC2" s="49" t="s">
        <v>14</v>
      </c>
      <c r="BD2" s="48" t="s">
        <v>220</v>
      </c>
      <c r="BE2" s="48" t="s">
        <v>1</v>
      </c>
      <c r="BF2" s="48" t="s">
        <v>2</v>
      </c>
      <c r="BG2" s="49" t="s">
        <v>223</v>
      </c>
      <c r="BH2" s="49" t="s">
        <v>14</v>
      </c>
      <c r="BI2" s="48" t="s">
        <v>221</v>
      </c>
      <c r="BJ2" s="48" t="s">
        <v>3</v>
      </c>
      <c r="BK2" s="48" t="s">
        <v>222</v>
      </c>
      <c r="BL2" s="49" t="s">
        <v>223</v>
      </c>
      <c r="BM2" s="49" t="s">
        <v>14</v>
      </c>
      <c r="BN2" s="47" t="s">
        <v>216</v>
      </c>
      <c r="BO2" s="48" t="s">
        <v>224</v>
      </c>
      <c r="BP2" s="48" t="s">
        <v>217</v>
      </c>
      <c r="BQ2" s="49" t="s">
        <v>223</v>
      </c>
      <c r="BR2" s="49" t="s">
        <v>14</v>
      </c>
      <c r="BS2" s="48" t="s">
        <v>0</v>
      </c>
      <c r="BT2" s="48" t="s">
        <v>218</v>
      </c>
      <c r="BU2" s="48" t="s">
        <v>219</v>
      </c>
      <c r="BV2" s="49" t="s">
        <v>223</v>
      </c>
      <c r="BW2" s="49" t="s">
        <v>14</v>
      </c>
      <c r="BX2" s="48" t="s">
        <v>220</v>
      </c>
      <c r="BY2" s="48" t="s">
        <v>1</v>
      </c>
      <c r="BZ2" s="48" t="s">
        <v>2</v>
      </c>
      <c r="CA2" s="49" t="s">
        <v>223</v>
      </c>
      <c r="CB2" s="49" t="s">
        <v>14</v>
      </c>
      <c r="CC2" s="48" t="s">
        <v>221</v>
      </c>
      <c r="CD2" s="48" t="s">
        <v>3</v>
      </c>
      <c r="CE2" s="48" t="s">
        <v>222</v>
      </c>
      <c r="CF2" s="49" t="s">
        <v>223</v>
      </c>
      <c r="CG2" s="49" t="s">
        <v>14</v>
      </c>
    </row>
    <row r="3" spans="1:175" s="34" customFormat="1" ht="10.5" customHeight="1" x14ac:dyDescent="0.15">
      <c r="A3" s="50" t="s">
        <v>174</v>
      </c>
      <c r="B3" s="287"/>
      <c r="C3" s="288"/>
      <c r="D3" s="287"/>
      <c r="E3" s="289"/>
      <c r="F3" s="227"/>
      <c r="G3" s="206"/>
      <c r="H3" s="206"/>
      <c r="I3" s="206"/>
      <c r="J3" s="248"/>
      <c r="K3" s="206"/>
      <c r="L3" s="206"/>
      <c r="M3" s="206"/>
      <c r="N3" s="206"/>
      <c r="O3" s="316"/>
      <c r="P3" s="206"/>
      <c r="Q3" s="206"/>
      <c r="R3" s="206"/>
      <c r="S3" s="206"/>
      <c r="T3" s="246"/>
      <c r="U3" s="247"/>
      <c r="V3" s="248"/>
      <c r="W3" s="249"/>
      <c r="X3" s="209"/>
      <c r="Y3" s="496"/>
      <c r="Z3" s="206"/>
      <c r="AA3" s="206"/>
      <c r="AB3" s="206"/>
      <c r="AC3" s="248"/>
      <c r="AD3" s="207"/>
      <c r="AE3" s="206"/>
      <c r="AF3" s="206"/>
      <c r="AG3" s="206"/>
      <c r="AH3" s="248"/>
      <c r="AI3" s="207"/>
      <c r="AJ3" s="206"/>
      <c r="AK3" s="206"/>
      <c r="AL3" s="206"/>
      <c r="AM3" s="248"/>
      <c r="AN3" s="207"/>
      <c r="AO3" s="206"/>
      <c r="AP3" s="206"/>
      <c r="AQ3" s="206"/>
      <c r="AR3" s="248"/>
      <c r="AS3" s="207"/>
      <c r="AT3" s="206"/>
      <c r="AU3" s="206"/>
      <c r="AV3" s="206"/>
      <c r="AW3" s="248"/>
      <c r="AX3" s="207"/>
      <c r="AY3" s="206"/>
      <c r="AZ3" s="206"/>
      <c r="BA3" s="206"/>
      <c r="BB3" s="248"/>
      <c r="BC3" s="207"/>
      <c r="BD3" s="206"/>
      <c r="BE3" s="206"/>
      <c r="BF3" s="206"/>
      <c r="BG3" s="248"/>
      <c r="BH3" s="207"/>
      <c r="BI3" s="206"/>
      <c r="BJ3" s="206"/>
      <c r="BK3" s="206"/>
      <c r="BL3" s="248"/>
      <c r="BM3" s="207"/>
      <c r="BN3" s="206"/>
      <c r="BO3" s="206"/>
      <c r="BP3" s="206"/>
      <c r="BQ3" s="248"/>
      <c r="BR3" s="207"/>
      <c r="BS3" s="206"/>
      <c r="BT3" s="206"/>
      <c r="BU3" s="206"/>
      <c r="BV3" s="248"/>
      <c r="BW3" s="207"/>
      <c r="BX3" s="206"/>
      <c r="BY3" s="206"/>
      <c r="BZ3" s="206"/>
      <c r="CA3" s="248"/>
      <c r="CB3" s="207"/>
      <c r="CC3" s="206"/>
      <c r="CD3" s="206"/>
      <c r="CE3" s="206"/>
      <c r="CF3" s="248"/>
      <c r="CG3" s="208"/>
    </row>
    <row r="4" spans="1:175" s="9" customFormat="1" ht="9.75" customHeight="1" x14ac:dyDescent="0.15">
      <c r="A4" s="51" t="s">
        <v>175</v>
      </c>
      <c r="B4" s="290">
        <f>B45</f>
        <v>0.3</v>
      </c>
      <c r="C4" s="291">
        <f>C45</f>
        <v>10000000</v>
      </c>
      <c r="D4" s="643" t="s">
        <v>210</v>
      </c>
      <c r="E4" s="644"/>
      <c r="F4" s="228">
        <f>SUM(1000/G44)</f>
        <v>200</v>
      </c>
      <c r="G4" s="98">
        <f>SUM((F45+F46)/G44)</f>
        <v>200</v>
      </c>
      <c r="H4" s="98">
        <f>SUM((G45+G46)/H44)</f>
        <v>3888.8888888888887</v>
      </c>
      <c r="I4" s="98">
        <f>SUM((H45+H46)/I44)</f>
        <v>3389.8305084745762</v>
      </c>
      <c r="J4" s="251">
        <f>SUM(F4+G4+H4+I4)*3</f>
        <v>23036.158192090395</v>
      </c>
      <c r="K4" s="35">
        <f>SUM((I45+I46)/K44)</f>
        <v>3465.5709343055337</v>
      </c>
      <c r="L4" s="35">
        <f>SUM((K45+K46)/L44)</f>
        <v>7328.9635720576289</v>
      </c>
      <c r="M4" s="35">
        <f>SUM((L45+L46)/M44)</f>
        <v>14574.174035893249</v>
      </c>
      <c r="N4" s="35">
        <f>SUM((M45+M46)/N44)</f>
        <v>30669.462781233295</v>
      </c>
      <c r="O4" s="251">
        <f>SUM(K4+L4+M4+N4)*3</f>
        <v>168114.51397046912</v>
      </c>
      <c r="P4" s="35">
        <f>SUM((N45+N46)/P44)</f>
        <v>59943.924832444878</v>
      </c>
      <c r="Q4" s="35">
        <f>SUM((P45+P46)/Q44)</f>
        <v>116383.52726441112</v>
      </c>
      <c r="R4" s="35">
        <f>SUM((Q45+Q46)/R44)</f>
        <v>237876.38257277256</v>
      </c>
      <c r="S4" s="35">
        <f>SUM((R45+R46)/S44)</f>
        <v>477906.65919169592</v>
      </c>
      <c r="T4" s="315">
        <f>SUM(P4+Q4+R4+S4)*3</f>
        <v>2676331.4815839734</v>
      </c>
      <c r="U4" s="250">
        <f>SUM(U45/U44)</f>
        <v>3999999.9999999972</v>
      </c>
      <c r="V4" s="251">
        <f>SUM(V45/V44)</f>
        <v>4081632.6530612214</v>
      </c>
      <c r="W4" s="252">
        <f>SUM(W45/W44)</f>
        <v>4166666.6666666628</v>
      </c>
      <c r="X4" s="173"/>
      <c r="Y4" s="490">
        <v>0</v>
      </c>
      <c r="Z4" s="35">
        <f>F4</f>
        <v>200</v>
      </c>
      <c r="AA4" s="35">
        <f>F4</f>
        <v>200</v>
      </c>
      <c r="AB4" s="35">
        <f>F4</f>
        <v>200</v>
      </c>
      <c r="AC4" s="251">
        <f>SUM(Z4:AB4)</f>
        <v>600</v>
      </c>
      <c r="AD4" s="43"/>
      <c r="AE4" s="35">
        <f>G4</f>
        <v>200</v>
      </c>
      <c r="AF4" s="35">
        <f>G4</f>
        <v>200</v>
      </c>
      <c r="AG4" s="35">
        <f>G4</f>
        <v>200</v>
      </c>
      <c r="AH4" s="251">
        <f>SUM(AE4:AG4)</f>
        <v>600</v>
      </c>
      <c r="AI4" s="43"/>
      <c r="AJ4" s="35">
        <f>H4</f>
        <v>3888.8888888888887</v>
      </c>
      <c r="AK4" s="35">
        <f>H4</f>
        <v>3888.8888888888887</v>
      </c>
      <c r="AL4" s="35">
        <f>H4</f>
        <v>3888.8888888888887</v>
      </c>
      <c r="AM4" s="251">
        <f>SUM(AJ4:AL4)</f>
        <v>11666.666666666666</v>
      </c>
      <c r="AN4" s="43"/>
      <c r="AO4" s="35">
        <f>I4</f>
        <v>3389.8305084745762</v>
      </c>
      <c r="AP4" s="35">
        <f>I4</f>
        <v>3389.8305084745762</v>
      </c>
      <c r="AQ4" s="35">
        <f>I4</f>
        <v>3389.8305084745762</v>
      </c>
      <c r="AR4" s="251">
        <f>SUM(AO4:AQ4)</f>
        <v>10169.491525423728</v>
      </c>
      <c r="AS4" s="43"/>
      <c r="AT4" s="35">
        <f>K4</f>
        <v>3465.5709343055337</v>
      </c>
      <c r="AU4" s="35">
        <f>K4</f>
        <v>3465.5709343055337</v>
      </c>
      <c r="AV4" s="35">
        <f>K4</f>
        <v>3465.5709343055337</v>
      </c>
      <c r="AW4" s="251">
        <f>SUM(AT4:AV4)</f>
        <v>10396.712802916602</v>
      </c>
      <c r="AX4" s="43"/>
      <c r="AY4" s="35">
        <f>L4</f>
        <v>7328.9635720576289</v>
      </c>
      <c r="AZ4" s="35">
        <f>L4</f>
        <v>7328.9635720576289</v>
      </c>
      <c r="BA4" s="35">
        <f>L4</f>
        <v>7328.9635720576289</v>
      </c>
      <c r="BB4" s="251">
        <f>SUM(AY4:BA4)</f>
        <v>21986.890716172886</v>
      </c>
      <c r="BC4" s="43"/>
      <c r="BD4" s="35">
        <f>M4</f>
        <v>14574.174035893249</v>
      </c>
      <c r="BE4" s="35">
        <f>M4</f>
        <v>14574.174035893249</v>
      </c>
      <c r="BF4" s="35">
        <f>M4</f>
        <v>14574.174035893249</v>
      </c>
      <c r="BG4" s="251">
        <f>SUM(BD4:BF4)</f>
        <v>43722.522107679746</v>
      </c>
      <c r="BH4" s="43"/>
      <c r="BI4" s="35">
        <f>N4</f>
        <v>30669.462781233295</v>
      </c>
      <c r="BJ4" s="35">
        <f>N4</f>
        <v>30669.462781233295</v>
      </c>
      <c r="BK4" s="35">
        <f>N4</f>
        <v>30669.462781233295</v>
      </c>
      <c r="BL4" s="251">
        <f>SUM(BI4:BK4)</f>
        <v>92008.388343699888</v>
      </c>
      <c r="BM4" s="43"/>
      <c r="BN4" s="35">
        <f>P4</f>
        <v>59943.924832444878</v>
      </c>
      <c r="BO4" s="35">
        <f>P4</f>
        <v>59943.924832444878</v>
      </c>
      <c r="BP4" s="35">
        <f>P4</f>
        <v>59943.924832444878</v>
      </c>
      <c r="BQ4" s="251">
        <f>SUM(BN4:BP4)</f>
        <v>179831.77449733464</v>
      </c>
      <c r="BR4" s="43"/>
      <c r="BS4" s="35">
        <f>Q4</f>
        <v>116383.52726441112</v>
      </c>
      <c r="BT4" s="35">
        <f>Q4</f>
        <v>116383.52726441112</v>
      </c>
      <c r="BU4" s="35">
        <f>Q4</f>
        <v>116383.52726441112</v>
      </c>
      <c r="BV4" s="251">
        <f>SUM(BS4:BU4)</f>
        <v>349150.5817932334</v>
      </c>
      <c r="BW4" s="43"/>
      <c r="BX4" s="35">
        <f>R4</f>
        <v>237876.38257277256</v>
      </c>
      <c r="BY4" s="35">
        <f>R4</f>
        <v>237876.38257277256</v>
      </c>
      <c r="BZ4" s="35">
        <f>R4</f>
        <v>237876.38257277256</v>
      </c>
      <c r="CA4" s="251">
        <f>SUM(BX4:BZ4)</f>
        <v>713629.14771831769</v>
      </c>
      <c r="CB4" s="43"/>
      <c r="CC4" s="35">
        <f>S4</f>
        <v>477906.65919169592</v>
      </c>
      <c r="CD4" s="35">
        <f>S4</f>
        <v>477906.65919169592</v>
      </c>
      <c r="CE4" s="35">
        <f>S4</f>
        <v>477906.65919169592</v>
      </c>
      <c r="CF4" s="251">
        <f>SUM(CC4:CE4)</f>
        <v>1433719.9775750877</v>
      </c>
      <c r="CG4" s="109"/>
    </row>
    <row r="5" spans="1:175" s="9" customFormat="1" ht="9.75" customHeight="1" x14ac:dyDescent="0.15">
      <c r="A5" s="51" t="s">
        <v>176</v>
      </c>
      <c r="B5" s="364">
        <v>800</v>
      </c>
      <c r="C5" s="293">
        <v>0.08</v>
      </c>
      <c r="D5" s="124"/>
      <c r="E5" s="117"/>
      <c r="F5" s="125">
        <v>1500</v>
      </c>
      <c r="G5" s="127">
        <v>2000</v>
      </c>
      <c r="H5" s="35">
        <f>SUM((IF(ISBLANK(D5),B5,D5))+(G5)*(IF(ISBLANK(E5),(1+C5),(1+E5))))</f>
        <v>2960</v>
      </c>
      <c r="I5" s="35">
        <f>SUM((IF(ISBLANK(D5),B5,D5))+(H5)*(IF(ISBLANK(E5),(1+C5),(1+E5))))</f>
        <v>3996.8</v>
      </c>
      <c r="J5" s="251">
        <f>SUM(F5+G5+H5+I5)*3</f>
        <v>31370.399999999998</v>
      </c>
      <c r="K5" s="35">
        <f>SUM((IF(ISBLANK(D5),B5,D5))+(I5)*(IF(ISBLANK(E5),(1+C5),(1+E5))))</f>
        <v>5116.5440000000008</v>
      </c>
      <c r="L5" s="35">
        <f>SUM((IF(ISBLANK(D5),B5,D5))+(K5)*(IF(ISBLANK(E5),(1+C5),(1+E5))))</f>
        <v>6325.8675200000016</v>
      </c>
      <c r="M5" s="35">
        <f>SUM((IF(ISBLANK(D5),B5,D5))+(L5)*(IF(ISBLANK(E5),(1+C5),(1+E5))))</f>
        <v>7631.9369216000023</v>
      </c>
      <c r="N5" s="35">
        <f>SUM((IF(ISBLANK(D5),B5,D5))+(M5)*(IF(ISBLANK(E5),(1+C5),(1+E5))))</f>
        <v>9042.4918753280035</v>
      </c>
      <c r="O5" s="251">
        <f>SUM(K5+L5+M5+N5)*3</f>
        <v>84350.520950784019</v>
      </c>
      <c r="P5" s="35">
        <f>SUM((IF(ISBLANK(D5),B5,D5))+(N5)*(IF(ISBLANK(E5),(1+C5),(1+E5))))</f>
        <v>10565.891225354244</v>
      </c>
      <c r="Q5" s="35">
        <f>SUM((IF(ISBLANK(D5),B5,D5))+(P5)*(IF(ISBLANK(E5),(1+C5),(1+E5))))</f>
        <v>12211.162523382583</v>
      </c>
      <c r="R5" s="35">
        <f>SUM((IF(ISBLANK(D5),B5,D5))+(Q5)*(IF(ISBLANK(E5),(1+C5),(1+E5))))</f>
        <v>13988.05552525319</v>
      </c>
      <c r="S5" s="35">
        <f>SUM((IF(ISBLANK(D5),B5,D5))+(R5)*(IF(ISBLANK(E5),(1+C5),(1+E5))))</f>
        <v>15907.099967273447</v>
      </c>
      <c r="T5" s="315">
        <f>SUM(P5+Q5+R5+S5)*3</f>
        <v>158016.62772379041</v>
      </c>
      <c r="U5" s="250">
        <f>SUM((IF(ISBLANK(D5),B5,D5))+(S5)*(IF(ISBLANK(E5),(1+C5),(1+E5))))*12</f>
        <v>215756.01557586389</v>
      </c>
      <c r="V5" s="251">
        <f>SUM((IF(ISBLANK(D5),B5,D5))+(U5)*(IF(ISBLANK(E5),(1+C5),(1+E5))))</f>
        <v>233816.49682193302</v>
      </c>
      <c r="W5" s="252">
        <f>SUM((IF(ISBLANK(D5),B5,D5))+(V5)*(IF(ISBLANK(E5),(1+C5),(1+E5))))</f>
        <v>253321.81656768767</v>
      </c>
      <c r="X5" s="173"/>
      <c r="Y5" s="490">
        <v>2300</v>
      </c>
      <c r="Z5" s="35">
        <f t="shared" ref="Z5:Z7" si="0">F5</f>
        <v>1500</v>
      </c>
      <c r="AA5" s="35">
        <f t="shared" ref="AA5:AA7" si="1">F5</f>
        <v>1500</v>
      </c>
      <c r="AB5" s="35">
        <f t="shared" ref="AB5:AB7" si="2">F5</f>
        <v>1500</v>
      </c>
      <c r="AC5" s="251">
        <f>SUM(Z5:AB5)</f>
        <v>4500</v>
      </c>
      <c r="AD5" s="43"/>
      <c r="AE5" s="35">
        <f t="shared" ref="AE5:AE7" si="3">G5</f>
        <v>2000</v>
      </c>
      <c r="AF5" s="35">
        <f t="shared" ref="AF5:AF7" si="4">G5</f>
        <v>2000</v>
      </c>
      <c r="AG5" s="35">
        <f t="shared" ref="AG5:AG7" si="5">G5</f>
        <v>2000</v>
      </c>
      <c r="AH5" s="251">
        <f>SUM(AE5:AG5)</f>
        <v>6000</v>
      </c>
      <c r="AI5" s="43"/>
      <c r="AJ5" s="35">
        <f t="shared" ref="AJ5:AJ7" si="6">H5</f>
        <v>2960</v>
      </c>
      <c r="AK5" s="35">
        <f t="shared" ref="AK5:AK7" si="7">H5</f>
        <v>2960</v>
      </c>
      <c r="AL5" s="35">
        <f t="shared" ref="AL5:AL7" si="8">H5</f>
        <v>2960</v>
      </c>
      <c r="AM5" s="251">
        <f>SUM(AJ5:AL5)</f>
        <v>8880</v>
      </c>
      <c r="AN5" s="43"/>
      <c r="AO5" s="35">
        <f>I5</f>
        <v>3996.8</v>
      </c>
      <c r="AP5" s="35">
        <f>I5</f>
        <v>3996.8</v>
      </c>
      <c r="AQ5" s="35">
        <f>I5</f>
        <v>3996.8</v>
      </c>
      <c r="AR5" s="251">
        <f>SUM(AO5:AQ5)</f>
        <v>11990.400000000001</v>
      </c>
      <c r="AS5" s="43"/>
      <c r="AT5" s="35">
        <f>K5</f>
        <v>5116.5440000000008</v>
      </c>
      <c r="AU5" s="35">
        <f>K5</f>
        <v>5116.5440000000008</v>
      </c>
      <c r="AV5" s="35">
        <f>K5</f>
        <v>5116.5440000000008</v>
      </c>
      <c r="AW5" s="251">
        <f>SUM(AT5:AV5)</f>
        <v>15349.632000000001</v>
      </c>
      <c r="AX5" s="43"/>
      <c r="AY5" s="35">
        <f>L5</f>
        <v>6325.8675200000016</v>
      </c>
      <c r="AZ5" s="35">
        <f>L5</f>
        <v>6325.8675200000016</v>
      </c>
      <c r="BA5" s="35">
        <f>L5</f>
        <v>6325.8675200000016</v>
      </c>
      <c r="BB5" s="251">
        <f>SUM(AY5:BA5)</f>
        <v>18977.602560000007</v>
      </c>
      <c r="BC5" s="43"/>
      <c r="BD5" s="35">
        <f>M5</f>
        <v>7631.9369216000023</v>
      </c>
      <c r="BE5" s="35">
        <f>M5</f>
        <v>7631.9369216000023</v>
      </c>
      <c r="BF5" s="35">
        <f>M5</f>
        <v>7631.9369216000023</v>
      </c>
      <c r="BG5" s="251">
        <f>SUM(BD5:BF5)</f>
        <v>22895.810764800008</v>
      </c>
      <c r="BH5" s="43"/>
      <c r="BI5" s="35">
        <f>N5</f>
        <v>9042.4918753280035</v>
      </c>
      <c r="BJ5" s="35">
        <f>N5</f>
        <v>9042.4918753280035</v>
      </c>
      <c r="BK5" s="35">
        <f>N5</f>
        <v>9042.4918753280035</v>
      </c>
      <c r="BL5" s="251">
        <f>SUM(BI5:BK5)</f>
        <v>27127.475625984011</v>
      </c>
      <c r="BM5" s="43"/>
      <c r="BN5" s="35">
        <f>P5</f>
        <v>10565.891225354244</v>
      </c>
      <c r="BO5" s="35">
        <f>P5</f>
        <v>10565.891225354244</v>
      </c>
      <c r="BP5" s="35">
        <f>P5</f>
        <v>10565.891225354244</v>
      </c>
      <c r="BQ5" s="251">
        <f>SUM(BN5:BP5)</f>
        <v>31697.673676062732</v>
      </c>
      <c r="BR5" s="43"/>
      <c r="BS5" s="35">
        <f>Q5</f>
        <v>12211.162523382583</v>
      </c>
      <c r="BT5" s="35">
        <f>Q5</f>
        <v>12211.162523382583</v>
      </c>
      <c r="BU5" s="35">
        <f>Q5</f>
        <v>12211.162523382583</v>
      </c>
      <c r="BV5" s="251">
        <f>SUM(BS5:BU5)</f>
        <v>36633.48757014775</v>
      </c>
      <c r="BW5" s="43"/>
      <c r="BX5" s="35">
        <f>R5</f>
        <v>13988.05552525319</v>
      </c>
      <c r="BY5" s="35">
        <f>R5</f>
        <v>13988.05552525319</v>
      </c>
      <c r="BZ5" s="35">
        <f>R5</f>
        <v>13988.05552525319</v>
      </c>
      <c r="CA5" s="251">
        <f>SUM(BX5:BZ5)</f>
        <v>41964.166575759569</v>
      </c>
      <c r="CB5" s="43"/>
      <c r="CC5" s="35">
        <f>S5</f>
        <v>15907.099967273447</v>
      </c>
      <c r="CD5" s="35">
        <f>S5</f>
        <v>15907.099967273447</v>
      </c>
      <c r="CE5" s="35">
        <f>S5</f>
        <v>15907.099967273447</v>
      </c>
      <c r="CF5" s="251">
        <f>SUM(CC5:CE5)</f>
        <v>47721.299901820341</v>
      </c>
      <c r="CG5" s="109"/>
    </row>
    <row r="6" spans="1:175" s="9" customFormat="1" ht="9.75" customHeight="1" x14ac:dyDescent="0.15">
      <c r="A6" s="484" t="s">
        <v>177</v>
      </c>
      <c r="B6" s="480">
        <v>500</v>
      </c>
      <c r="C6" s="293">
        <v>0.02</v>
      </c>
      <c r="D6" s="125"/>
      <c r="E6" s="117"/>
      <c r="F6" s="125">
        <v>0</v>
      </c>
      <c r="G6" s="127">
        <v>100</v>
      </c>
      <c r="H6" s="35">
        <f>SUM(IF(ISBLANK(D6),B6,D6)+(G18*(IF(ISBLANK(E6),C6,E6))))</f>
        <v>602.38028305815033</v>
      </c>
      <c r="I6" s="35">
        <f>SUM(IF(ISBLANK(D6),B6,D6)+(H18*(IF(ISBLANK(E6),C6,E6))))</f>
        <v>1145.9535419598158</v>
      </c>
      <c r="J6" s="251">
        <f>SUM(F6+G6+H6+I6)*3</f>
        <v>5545.0014750538985</v>
      </c>
      <c r="K6" s="35">
        <f>SUM(IF(ISBLANK(D6),B6,D6)+(I18*(IF(ISBLANK(E6),C6,E6))))</f>
        <v>1888.1482972949632</v>
      </c>
      <c r="L6" s="35">
        <f>SUM(IF(ISBLANK(D6),B6,D6)+(K18*(IF(ISBLANK(E6),C6,E6))))</f>
        <v>2870.3406271998274</v>
      </c>
      <c r="M6" s="35">
        <f>SUM(IF(ISBLANK(D6),B6,D6)+(L18*(IF(ISBLANK(E6),C6,E6))))</f>
        <v>4234.009229377496</v>
      </c>
      <c r="N6" s="35">
        <f>SUM(IF(ISBLANK(D6),B6,D6)+(M18*(IF(ISBLANK(E6),C6,E6))))</f>
        <v>6362.4092651538422</v>
      </c>
      <c r="O6" s="251">
        <f>SUM(K6+L6+M6+N6)*3</f>
        <v>46064.722257078378</v>
      </c>
      <c r="P6" s="35">
        <f>SUM(IF(ISBLANK(D6),B6,D6)+(N18*(IF(ISBLANK(E6),C6,E6))))</f>
        <v>10047.169251173655</v>
      </c>
      <c r="Q6" s="35">
        <f>SUM(IF(ISBLANK(D6),B6,D6)+(P18*(IF(ISBLANK(E6),C6,E6))))</f>
        <v>16491.375376787553</v>
      </c>
      <c r="R6" s="35">
        <f>SUM(IF(ISBLANK(D6),B6,D6)+(Q18*(IF(ISBLANK(E6),C6,E6))))</f>
        <v>28085.678404781411</v>
      </c>
      <c r="S6" s="35">
        <f>SUM(IF(ISBLANK(D6),B6,D6)+(R18*(IF(ISBLANK(E6),C6,E6))))</f>
        <v>50217.700488357004</v>
      </c>
      <c r="T6" s="315">
        <f>SUM(P6+Q6+R6+S6)*3</f>
        <v>314525.77056329889</v>
      </c>
      <c r="U6" s="250">
        <f>SUM(IF(ISBLANK(D6),B6,D6)+(S18*(IF(ISBLANK(E6),C6,E6))))*12</f>
        <v>1116247.4568540105</v>
      </c>
      <c r="V6" s="251">
        <f>SUM(IF(ISBLANK(D6),B6,D6)+(U18*(IF(ISBLANK(E6),C6,E6))))*12</f>
        <v>3110355.1961926911</v>
      </c>
      <c r="W6" s="252">
        <f>SUM(IF(ISBLANK(D6),B6,D6)+(V18*(IF(ISBLANK(E6),C6,E6))))*12</f>
        <v>6406154.8565311516</v>
      </c>
      <c r="X6" s="173"/>
      <c r="Y6" s="490">
        <v>0</v>
      </c>
      <c r="Z6" s="35">
        <f t="shared" si="0"/>
        <v>0</v>
      </c>
      <c r="AA6" s="35">
        <f t="shared" si="1"/>
        <v>0</v>
      </c>
      <c r="AB6" s="35">
        <f t="shared" si="2"/>
        <v>0</v>
      </c>
      <c r="AC6" s="251">
        <f t="shared" ref="AC6:AC17" si="9">SUM(Z6:AB6)</f>
        <v>0</v>
      </c>
      <c r="AD6" s="43"/>
      <c r="AE6" s="35">
        <f t="shared" si="3"/>
        <v>100</v>
      </c>
      <c r="AF6" s="35">
        <f t="shared" si="4"/>
        <v>100</v>
      </c>
      <c r="AG6" s="35">
        <f t="shared" si="5"/>
        <v>100</v>
      </c>
      <c r="AH6" s="251">
        <f t="shared" ref="AH6:AH17" si="10">SUM(AE6:AG6)</f>
        <v>300</v>
      </c>
      <c r="AI6" s="43"/>
      <c r="AJ6" s="35">
        <f t="shared" si="6"/>
        <v>602.38028305815033</v>
      </c>
      <c r="AK6" s="35">
        <f t="shared" si="7"/>
        <v>602.38028305815033</v>
      </c>
      <c r="AL6" s="35">
        <f t="shared" si="8"/>
        <v>602.38028305815033</v>
      </c>
      <c r="AM6" s="251">
        <f t="shared" ref="AM6:AM17" si="11">SUM(AJ6:AL6)</f>
        <v>1807.140849174451</v>
      </c>
      <c r="AN6" s="43"/>
      <c r="AO6" s="35">
        <f t="shared" ref="AO6:AO7" si="12">I6</f>
        <v>1145.9535419598158</v>
      </c>
      <c r="AP6" s="35">
        <f t="shared" ref="AP6:AP7" si="13">I6</f>
        <v>1145.9535419598158</v>
      </c>
      <c r="AQ6" s="35">
        <f t="shared" ref="AQ6:AQ7" si="14">I6</f>
        <v>1145.9535419598158</v>
      </c>
      <c r="AR6" s="251">
        <f t="shared" ref="AR6:AR17" si="15">SUM(AO6:AQ6)</f>
        <v>3437.8606258794471</v>
      </c>
      <c r="AS6" s="43"/>
      <c r="AT6" s="35">
        <f t="shared" ref="AT6:AT7" si="16">K6</f>
        <v>1888.1482972949632</v>
      </c>
      <c r="AU6" s="35">
        <f t="shared" ref="AU6:AU7" si="17">K6</f>
        <v>1888.1482972949632</v>
      </c>
      <c r="AV6" s="35">
        <f t="shared" ref="AV6:AV7" si="18">K6</f>
        <v>1888.1482972949632</v>
      </c>
      <c r="AW6" s="251">
        <f t="shared" ref="AW6:AW17" si="19">SUM(AT6:AV6)</f>
        <v>5664.4448918848893</v>
      </c>
      <c r="AX6" s="43"/>
      <c r="AY6" s="35">
        <f t="shared" ref="AY6:AY7" si="20">L6</f>
        <v>2870.3406271998274</v>
      </c>
      <c r="AZ6" s="35">
        <f t="shared" ref="AZ6:AZ7" si="21">L6</f>
        <v>2870.3406271998274</v>
      </c>
      <c r="BA6" s="35">
        <f t="shared" ref="BA6:BA7" si="22">L6</f>
        <v>2870.3406271998274</v>
      </c>
      <c r="BB6" s="251">
        <f t="shared" ref="BB6:BB17" si="23">SUM(AY6:BA6)</f>
        <v>8611.0218815994813</v>
      </c>
      <c r="BC6" s="43"/>
      <c r="BD6" s="35">
        <f t="shared" ref="BD6:BD7" si="24">M6</f>
        <v>4234.009229377496</v>
      </c>
      <c r="BE6" s="35">
        <f t="shared" ref="BE6:BE7" si="25">M6</f>
        <v>4234.009229377496</v>
      </c>
      <c r="BF6" s="35">
        <f t="shared" ref="BF6:BF7" si="26">M6</f>
        <v>4234.009229377496</v>
      </c>
      <c r="BG6" s="251">
        <f t="shared" ref="BG6:BG17" si="27">SUM(BD6:BF6)</f>
        <v>12702.027688132488</v>
      </c>
      <c r="BH6" s="43"/>
      <c r="BI6" s="35">
        <f t="shared" ref="BI6:BI7" si="28">N6</f>
        <v>6362.4092651538422</v>
      </c>
      <c r="BJ6" s="35">
        <f t="shared" ref="BJ6" si="29">N6</f>
        <v>6362.4092651538422</v>
      </c>
      <c r="BK6" s="35">
        <f t="shared" ref="BK6:BK7" si="30">N6</f>
        <v>6362.4092651538422</v>
      </c>
      <c r="BL6" s="251">
        <f t="shared" ref="BL6:BL8" si="31">SUM(BI6:BK6)</f>
        <v>19087.227795461527</v>
      </c>
      <c r="BM6" s="43"/>
      <c r="BN6" s="35">
        <f t="shared" ref="BN6:BN7" si="32">P6</f>
        <v>10047.169251173655</v>
      </c>
      <c r="BO6" s="35">
        <f t="shared" ref="BO6:BO7" si="33">P6</f>
        <v>10047.169251173655</v>
      </c>
      <c r="BP6" s="35">
        <f t="shared" ref="BP6:BP7" si="34">P6</f>
        <v>10047.169251173655</v>
      </c>
      <c r="BQ6" s="251">
        <f t="shared" ref="BQ6:BQ8" si="35">SUM(BN6:BP6)</f>
        <v>30141.507753520964</v>
      </c>
      <c r="BR6" s="43"/>
      <c r="BS6" s="35">
        <f t="shared" ref="BS6:BS7" si="36">Q6</f>
        <v>16491.375376787553</v>
      </c>
      <c r="BT6" s="35">
        <f t="shared" ref="BT6:BT7" si="37">Q6</f>
        <v>16491.375376787553</v>
      </c>
      <c r="BU6" s="35">
        <f t="shared" ref="BU6:BU7" si="38">Q6</f>
        <v>16491.375376787553</v>
      </c>
      <c r="BV6" s="251">
        <f t="shared" ref="BV6:BV8" si="39">SUM(BS6:BU6)</f>
        <v>49474.12613036266</v>
      </c>
      <c r="BW6" s="43"/>
      <c r="BX6" s="35">
        <f t="shared" ref="BX6:BX7" si="40">R6</f>
        <v>28085.678404781411</v>
      </c>
      <c r="BY6" s="35">
        <f t="shared" ref="BY6:BY7" si="41">R6</f>
        <v>28085.678404781411</v>
      </c>
      <c r="BZ6" s="35">
        <f t="shared" ref="BZ6" si="42">R6</f>
        <v>28085.678404781411</v>
      </c>
      <c r="CA6" s="251">
        <f t="shared" ref="CA6:CA7" si="43">SUM(BX6:BZ6)</f>
        <v>84257.035214344229</v>
      </c>
      <c r="CB6" s="43"/>
      <c r="CC6" s="35">
        <f t="shared" ref="CC6:CC7" si="44">S6</f>
        <v>50217.700488357004</v>
      </c>
      <c r="CD6" s="35">
        <f t="shared" ref="CD6:CD7" si="45">S6</f>
        <v>50217.700488357004</v>
      </c>
      <c r="CE6" s="35">
        <f t="shared" ref="CE6:CE7" si="46">S6</f>
        <v>50217.700488357004</v>
      </c>
      <c r="CF6" s="251">
        <f t="shared" ref="CF6:CF8" si="47">SUM(CC6:CE6)</f>
        <v>150653.10146507103</v>
      </c>
      <c r="CG6" s="109"/>
    </row>
    <row r="7" spans="1:175" s="9" customFormat="1" ht="9.75" customHeight="1" x14ac:dyDescent="0.15">
      <c r="A7" s="51" t="s">
        <v>178</v>
      </c>
      <c r="B7" s="250">
        <v>100</v>
      </c>
      <c r="C7" s="269">
        <v>0.01</v>
      </c>
      <c r="D7" s="125"/>
      <c r="E7" s="117"/>
      <c r="F7" s="125">
        <v>0</v>
      </c>
      <c r="G7" s="127">
        <v>0</v>
      </c>
      <c r="H7" s="127">
        <v>0</v>
      </c>
      <c r="I7" s="127">
        <v>0</v>
      </c>
      <c r="J7" s="251">
        <f>SUM((F7+G7+H7+I7)*3)</f>
        <v>0</v>
      </c>
      <c r="K7" s="35">
        <f>SUM(IF(ISBLANK(D7),B7,D7)+(I18*(IF(ISBLANK(E7),C7,E7))))</f>
        <v>794.07414864748159</v>
      </c>
      <c r="L7" s="35">
        <f>SUM(IF(ISBLANK(D7),B7,D7)+(K18*(IF(ISBLANK(E7),C7,E7))))</f>
        <v>1285.1703135999137</v>
      </c>
      <c r="M7" s="35">
        <f>SUM(IF(ISBLANK(D7),B7,D7)+(L18*(IF(ISBLANK(E7),C7,E7))))</f>
        <v>1967.0046146887478</v>
      </c>
      <c r="N7" s="35">
        <f>SUM(IF(ISBLANK(D7),B7,D7)+(M18*(IF(ISBLANK(E7),C7,E7))))</f>
        <v>3031.2046325769211</v>
      </c>
      <c r="O7" s="251">
        <f>SUM(K7+L7+M7+N7)*3</f>
        <v>21232.361128539189</v>
      </c>
      <c r="P7" s="35">
        <f>SUM(IF(ISBLANK(D7),B7,D7)+(N18*(IF(ISBLANK(E7),C7,E7))))</f>
        <v>4873.5846255868273</v>
      </c>
      <c r="Q7" s="35">
        <f>SUM(IF(ISBLANK(D7),B7,D7)+(P18*(IF(ISBLANK(E7),C7,E7))))</f>
        <v>8095.6876883937757</v>
      </c>
      <c r="R7" s="35">
        <f>SUM(IF(ISBLANK(D7),B7,D7)+(Q18*(IF(ISBLANK(E7),C7,E7))))</f>
        <v>13892.839202390705</v>
      </c>
      <c r="S7" s="35">
        <f>SUM(IF(ISBLANK(D7),B7,D7)+(R18*(IF(ISBLANK(E7),C7,E7))))</f>
        <v>24958.850244178502</v>
      </c>
      <c r="T7" s="315">
        <f>SUM(P7+Q7+R7+S7)*3</f>
        <v>155462.88528164945</v>
      </c>
      <c r="U7" s="250">
        <f>SUM(IF(ISBLANK(D7),B7,D7)+(S18*(IF(ISBLANK(E7),C7,E7))))*12</f>
        <v>556323.72842700523</v>
      </c>
      <c r="V7" s="251">
        <f>SUM(IF(ISBLANK(D7),B7,D7)+(U18*(IF(ISBLANK(E7),C7,E7))))*12</f>
        <v>1553377.5980963456</v>
      </c>
      <c r="W7" s="252">
        <f>SUM(IF(ISBLANK(D7),B7,D7)+(V18*(IF(ISBLANK(E7),C7,E7))))*12</f>
        <v>3201277.4282655758</v>
      </c>
      <c r="X7" s="173"/>
      <c r="Y7" s="490">
        <v>0</v>
      </c>
      <c r="Z7" s="35">
        <f t="shared" si="0"/>
        <v>0</v>
      </c>
      <c r="AA7" s="35">
        <f t="shared" si="1"/>
        <v>0</v>
      </c>
      <c r="AB7" s="35">
        <f t="shared" si="2"/>
        <v>0</v>
      </c>
      <c r="AC7" s="251">
        <f t="shared" si="9"/>
        <v>0</v>
      </c>
      <c r="AD7" s="43"/>
      <c r="AE7" s="35">
        <f t="shared" si="3"/>
        <v>0</v>
      </c>
      <c r="AF7" s="35">
        <f t="shared" si="4"/>
        <v>0</v>
      </c>
      <c r="AG7" s="35">
        <f t="shared" si="5"/>
        <v>0</v>
      </c>
      <c r="AH7" s="251">
        <f t="shared" si="10"/>
        <v>0</v>
      </c>
      <c r="AI7" s="43"/>
      <c r="AJ7" s="35">
        <f t="shared" si="6"/>
        <v>0</v>
      </c>
      <c r="AK7" s="35">
        <f t="shared" si="7"/>
        <v>0</v>
      </c>
      <c r="AL7" s="35">
        <f t="shared" si="8"/>
        <v>0</v>
      </c>
      <c r="AM7" s="251">
        <f t="shared" si="11"/>
        <v>0</v>
      </c>
      <c r="AN7" s="43"/>
      <c r="AO7" s="35">
        <f t="shared" si="12"/>
        <v>0</v>
      </c>
      <c r="AP7" s="35">
        <f t="shared" si="13"/>
        <v>0</v>
      </c>
      <c r="AQ7" s="35">
        <f t="shared" si="14"/>
        <v>0</v>
      </c>
      <c r="AR7" s="251">
        <f t="shared" si="15"/>
        <v>0</v>
      </c>
      <c r="AS7" s="43"/>
      <c r="AT7" s="35">
        <f t="shared" si="16"/>
        <v>794.07414864748159</v>
      </c>
      <c r="AU7" s="35">
        <f t="shared" si="17"/>
        <v>794.07414864748159</v>
      </c>
      <c r="AV7" s="35">
        <f t="shared" si="18"/>
        <v>794.07414864748159</v>
      </c>
      <c r="AW7" s="251">
        <f t="shared" si="19"/>
        <v>2382.2224459424447</v>
      </c>
      <c r="AX7" s="43"/>
      <c r="AY7" s="35">
        <f t="shared" si="20"/>
        <v>1285.1703135999137</v>
      </c>
      <c r="AZ7" s="35">
        <f t="shared" si="21"/>
        <v>1285.1703135999137</v>
      </c>
      <c r="BA7" s="35">
        <f t="shared" si="22"/>
        <v>1285.1703135999137</v>
      </c>
      <c r="BB7" s="251">
        <f t="shared" si="23"/>
        <v>3855.5109407997411</v>
      </c>
      <c r="BC7" s="43"/>
      <c r="BD7" s="35">
        <f t="shared" si="24"/>
        <v>1967.0046146887478</v>
      </c>
      <c r="BE7" s="35">
        <f t="shared" si="25"/>
        <v>1967.0046146887478</v>
      </c>
      <c r="BF7" s="35">
        <f t="shared" si="26"/>
        <v>1967.0046146887478</v>
      </c>
      <c r="BG7" s="251">
        <f t="shared" si="27"/>
        <v>5901.0138440662431</v>
      </c>
      <c r="BH7" s="43"/>
      <c r="BI7" s="35">
        <f t="shared" si="28"/>
        <v>3031.2046325769211</v>
      </c>
      <c r="BJ7" s="35">
        <f>N7</f>
        <v>3031.2046325769211</v>
      </c>
      <c r="BK7" s="35">
        <f t="shared" si="30"/>
        <v>3031.2046325769211</v>
      </c>
      <c r="BL7" s="251">
        <f t="shared" si="31"/>
        <v>9093.6138977307637</v>
      </c>
      <c r="BM7" s="43"/>
      <c r="BN7" s="35">
        <f t="shared" si="32"/>
        <v>4873.5846255868273</v>
      </c>
      <c r="BO7" s="35">
        <f t="shared" si="33"/>
        <v>4873.5846255868273</v>
      </c>
      <c r="BP7" s="35">
        <f t="shared" si="34"/>
        <v>4873.5846255868273</v>
      </c>
      <c r="BQ7" s="251">
        <f t="shared" si="35"/>
        <v>14620.753876760482</v>
      </c>
      <c r="BR7" s="43"/>
      <c r="BS7" s="35">
        <f t="shared" si="36"/>
        <v>8095.6876883937757</v>
      </c>
      <c r="BT7" s="35">
        <f t="shared" si="37"/>
        <v>8095.6876883937757</v>
      </c>
      <c r="BU7" s="35">
        <f t="shared" si="38"/>
        <v>8095.6876883937757</v>
      </c>
      <c r="BV7" s="251">
        <f t="shared" si="39"/>
        <v>24287.063065181326</v>
      </c>
      <c r="BW7" s="43"/>
      <c r="BX7" s="35">
        <f t="shared" si="40"/>
        <v>13892.839202390705</v>
      </c>
      <c r="BY7" s="35">
        <f t="shared" si="41"/>
        <v>13892.839202390705</v>
      </c>
      <c r="BZ7" s="35">
        <f>R7</f>
        <v>13892.839202390705</v>
      </c>
      <c r="CA7" s="251">
        <f t="shared" si="43"/>
        <v>41678.517607172114</v>
      </c>
      <c r="CB7" s="43"/>
      <c r="CC7" s="35">
        <f t="shared" si="44"/>
        <v>24958.850244178502</v>
      </c>
      <c r="CD7" s="35">
        <f t="shared" si="45"/>
        <v>24958.850244178502</v>
      </c>
      <c r="CE7" s="35">
        <f t="shared" si="46"/>
        <v>24958.850244178502</v>
      </c>
      <c r="CF7" s="251">
        <f t="shared" si="47"/>
        <v>74876.550732535514</v>
      </c>
      <c r="CG7" s="109"/>
    </row>
    <row r="8" spans="1:175" s="9" customFormat="1" ht="9.75" customHeight="1" thickBot="1" x14ac:dyDescent="0.2">
      <c r="A8" s="229" t="s">
        <v>179</v>
      </c>
      <c r="B8" s="294">
        <v>5000000</v>
      </c>
      <c r="C8" s="295">
        <v>300000000</v>
      </c>
      <c r="D8" s="230"/>
      <c r="E8" s="231"/>
      <c r="F8" s="232">
        <f>SUM(IF(((1-(Y18/(IF(ISBLANK(D8),B8,(IF(D8=0,9.99999999999999E+29,D8))))))*SUM(F4:F7))&lt;0,0,((1-(Y18/(IF(ISBLANK(D8),B8,(IF(D8=0,9.99999999999999E+29,D8))))))*SUM(F4:F7))))</f>
        <v>1699.49</v>
      </c>
      <c r="G8" s="233">
        <f>SUM(IF(((1-(F18/(IF(ISBLANK(D8),B8,(IF(D8=0,9.99999999999999E+29,D8))))))*SUM(G4:G7))&lt;0,0,((1-(F18/(IF(ISBLANK(D8),B8,(IF(D8=0,9.99999999999999E+29,D8))))))*SUM(G4:G7))))</f>
        <v>2299.0132015260306</v>
      </c>
      <c r="H8" s="233">
        <f>SUM(IF(((1-(G18/(IF(ISBLANK(D8),B8,(IF(D8=0,9.99999999999999E+29,D8))))))*SUM(H4:H7))&lt;0,0,((1-(G18/(IF(ISBLANK(D8),B8,(IF(D8=0,9.99999999999999E+29,D8))))))*SUM(H4:H7))))</f>
        <v>7443.6405414773744</v>
      </c>
      <c r="I8" s="233">
        <f>SUM(IF(((1-(H18/(IF(ISBLANK(D8),B8,(IF(D8=0,9.99999999999999E+29,D8))))))*SUM(I4:I7))&lt;0,0,((1-(H18/(IF(ISBLANK(D8),B8,(IF(D8=0,9.99999999999999E+29,D8))))))*SUM(I4:I7))))</f>
        <v>8477.4675215399129</v>
      </c>
      <c r="J8" s="255">
        <f t="shared" ref="J8" si="48">SUM(F8:I8)*3</f>
        <v>59758.83379362995</v>
      </c>
      <c r="K8" s="233">
        <f>SUM(IF(((1-(I18/(IF(ISBLANK(E8),C8,(IF(E8=0,9.99999999999999E+29,E8))))))*SUM(K4:K7))&lt;0,0,((1-(I18/(IF(ISBLANK(E8),C8,(IF(E8=0,9.99999999999999E+29,E8))))))*SUM(K4:K7))))</f>
        <v>11261.731285122221</v>
      </c>
      <c r="L8" s="233">
        <f>SUM(IF(((1-(K18/(IF(ISBLANK(E8),C8,(IF(E8=0,9.99999999999999E+29,E8))))))*SUM(L4:L7))&lt;0,0,((1-(K18/(IF(ISBLANK(E8),C8,(IF(E8=0,9.99999999999999E+29,E8))))))*SUM(L4:L7))))</f>
        <v>17803.305936639903</v>
      </c>
      <c r="M8" s="233">
        <f>SUM(IF(((1-(L18/(IF(ISBLANK(E8),C8,(IF(E8=0,9.99999999999999E+29,E8))))))*SUM(M4:M7))&lt;0,0,((1-(L18/(IF(ISBLANK(E8),C8,(IF(E8=0,9.99999999999999E+29,E8))))))*SUM(M4:M7))))</f>
        <v>28389.446057194647</v>
      </c>
      <c r="N8" s="233">
        <f>SUM(IF(((1-(M18/(IF(ISBLANK(E8),C8,(IF(E8=0,9.99999999999999E+29,E8))))))*SUM(N4:N7))&lt;0,0,((1-(M18/(IF(ISBLANK(E8),C8,(IF(E8=0,9.99999999999999E+29,E8))))))*SUM(N4:N7))))</f>
        <v>49057.589064281507</v>
      </c>
      <c r="O8" s="255">
        <f t="shared" ref="O8" si="49">SUM(K8:N8)*3</f>
        <v>319536.21702971484</v>
      </c>
      <c r="P8" s="233">
        <f>SUM(IF(((1-(N18/(IF(ISBLANK(E8),C8,(IF(E8=0,9.99999999999999E+29,E8))))))*SUM(P4:P7))&lt;0,0,((1-(N18/(IF(ISBLANK(E8),C8,(IF(E8=0,9.99999999999999E+29,E8))))))*SUM(P4:P7))))</f>
        <v>85294.633249494684</v>
      </c>
      <c r="Q8" s="233">
        <f>SUM(IF(((1-(P18/(IF(ISBLANK(E8),C8,(IF(E8=0,9.99999999999999E+29,E8))))))*SUM(Q4:Q7))&lt;0,0,((1-(P18/(IF(ISBLANK(E8),C8,(IF(E8=0,9.99999999999999E+29,E8))))))*SUM(Q4:Q7))))</f>
        <v>152773.48836785069</v>
      </c>
      <c r="R8" s="233">
        <f>SUM(IF(((1-(Q18/(IF(ISBLANK(E8),C8,(IF(E8=0,9.99999999999999E+29,E8))))))*SUM(R4:R7))&lt;0,0,((1-(Q18/(IF(ISBLANK(E8),C8,(IF(E8=0,9.99999999999999E+29,E8))))))*SUM(R4:R7))))</f>
        <v>292491.9794922655</v>
      </c>
      <c r="S8" s="233">
        <f>SUM(IF(((1-(R18/(IF(ISBLANK(E8),C8,(IF(E8=0,9.99999999999999E+29,E8))))))*SUM(S4:S7))&lt;0,0,((1-(R18/(IF(ISBLANK(E8),C8,(IF(E8=0,9.99999999999999E+29,E8))))))*SUM(S4:S7))))</f>
        <v>564275.49492351105</v>
      </c>
      <c r="T8" s="253">
        <f t="shared" ref="T8" si="50">SUM(P8:S8)*3</f>
        <v>3284506.7880993658</v>
      </c>
      <c r="U8" s="254">
        <f>SUM(IF(((1-(T18/(IF(ISBLANK(E8),C8,(IF(E8=0,9.99999999999999E+29,E8))))))*SUM(U4:U7))&lt;0,0,((1-(T18/(IF(ISBLANK(E8),C8,(IF(E8=0,9.99999999999999E+29,E8))))))*SUM(U4:U7))))</f>
        <v>5797528.5855808258</v>
      </c>
      <c r="V8" s="255">
        <f>SUM(IF(((1-(U18/(IF(ISBLANK(E8),C8,(IF(E8=0,9.99999999999999E+29,E8))))))*SUM(V4:V7))&lt;0,0,((1-(U18/(IF(ISBLANK(E8),C8,(IF(E8=0,9.99999999999999E+29,E8))))))*SUM(V4:V7))))</f>
        <v>8592035.1368673239</v>
      </c>
      <c r="W8" s="256">
        <f>SUM(IF(((1-(V18/(IF(ISBLANK(E8),C8,(IF(E8=0,9.99999999999999E+29,E8))))))*SUM(W4:W7))&lt;0,0,((1-(V18/(IF(ISBLANK(E8),C8,(IF(E8=0,9.99999999999999E+29,E8))))))*SUM(W4:W7))))</f>
        <v>12780508.752015522</v>
      </c>
      <c r="X8" s="236"/>
      <c r="Y8" s="497">
        <f>SUM(Y4:Y7)</f>
        <v>2300</v>
      </c>
      <c r="Z8" s="233">
        <f>F8</f>
        <v>1699.49</v>
      </c>
      <c r="AA8" s="233">
        <f>F8</f>
        <v>1699.49</v>
      </c>
      <c r="AB8" s="233">
        <f>F8</f>
        <v>1699.49</v>
      </c>
      <c r="AC8" s="255">
        <f t="shared" si="9"/>
        <v>5098.47</v>
      </c>
      <c r="AD8" s="234"/>
      <c r="AE8" s="233">
        <f>G8</f>
        <v>2299.0132015260306</v>
      </c>
      <c r="AF8" s="233">
        <f>G8</f>
        <v>2299.0132015260306</v>
      </c>
      <c r="AG8" s="233">
        <f>G8</f>
        <v>2299.0132015260306</v>
      </c>
      <c r="AH8" s="255">
        <f t="shared" si="10"/>
        <v>6897.0396045780917</v>
      </c>
      <c r="AI8" s="234"/>
      <c r="AJ8" s="233">
        <f>H8</f>
        <v>7443.6405414773744</v>
      </c>
      <c r="AK8" s="233">
        <f>H8</f>
        <v>7443.6405414773744</v>
      </c>
      <c r="AL8" s="233">
        <f>H8</f>
        <v>7443.6405414773744</v>
      </c>
      <c r="AM8" s="255">
        <f t="shared" si="11"/>
        <v>22330.921624432121</v>
      </c>
      <c r="AN8" s="234"/>
      <c r="AO8" s="233">
        <f>I8</f>
        <v>8477.4675215399129</v>
      </c>
      <c r="AP8" s="233">
        <f>I8</f>
        <v>8477.4675215399129</v>
      </c>
      <c r="AQ8" s="233">
        <f>I8</f>
        <v>8477.4675215399129</v>
      </c>
      <c r="AR8" s="255">
        <f t="shared" si="15"/>
        <v>25432.402564619741</v>
      </c>
      <c r="AS8" s="234"/>
      <c r="AT8" s="233">
        <f>K8</f>
        <v>11261.731285122221</v>
      </c>
      <c r="AU8" s="233">
        <f>K8</f>
        <v>11261.731285122221</v>
      </c>
      <c r="AV8" s="233">
        <f>K8</f>
        <v>11261.731285122221</v>
      </c>
      <c r="AW8" s="255">
        <f t="shared" si="19"/>
        <v>33785.193855366662</v>
      </c>
      <c r="AX8" s="234"/>
      <c r="AY8" s="233">
        <f>L8</f>
        <v>17803.305936639903</v>
      </c>
      <c r="AZ8" s="233">
        <f>L8</f>
        <v>17803.305936639903</v>
      </c>
      <c r="BA8" s="233">
        <f>L8</f>
        <v>17803.305936639903</v>
      </c>
      <c r="BB8" s="255">
        <f t="shared" si="23"/>
        <v>53409.917809919709</v>
      </c>
      <c r="BC8" s="234"/>
      <c r="BD8" s="233">
        <f>M8</f>
        <v>28389.446057194647</v>
      </c>
      <c r="BE8" s="233">
        <f>M8</f>
        <v>28389.446057194647</v>
      </c>
      <c r="BF8" s="233">
        <f>M8</f>
        <v>28389.446057194647</v>
      </c>
      <c r="BG8" s="255">
        <f t="shared" si="27"/>
        <v>85168.33817158395</v>
      </c>
      <c r="BH8" s="234"/>
      <c r="BI8" s="233">
        <f>N8</f>
        <v>49057.589064281507</v>
      </c>
      <c r="BJ8" s="233">
        <f>N8</f>
        <v>49057.589064281507</v>
      </c>
      <c r="BK8" s="233">
        <f>N8</f>
        <v>49057.589064281507</v>
      </c>
      <c r="BL8" s="255">
        <f t="shared" si="31"/>
        <v>147172.76719284453</v>
      </c>
      <c r="BM8" s="234"/>
      <c r="BN8" s="233">
        <f>P8</f>
        <v>85294.633249494684</v>
      </c>
      <c r="BO8" s="233">
        <f>P8</f>
        <v>85294.633249494684</v>
      </c>
      <c r="BP8" s="233">
        <f>P8</f>
        <v>85294.633249494684</v>
      </c>
      <c r="BQ8" s="255">
        <f t="shared" si="35"/>
        <v>255883.89974848405</v>
      </c>
      <c r="BR8" s="234"/>
      <c r="BS8" s="233">
        <f>Q8</f>
        <v>152773.48836785069</v>
      </c>
      <c r="BT8" s="233">
        <f>Q8</f>
        <v>152773.48836785069</v>
      </c>
      <c r="BU8" s="233">
        <f>Q8</f>
        <v>152773.48836785069</v>
      </c>
      <c r="BV8" s="255">
        <f t="shared" si="39"/>
        <v>458320.46510355209</v>
      </c>
      <c r="BW8" s="234"/>
      <c r="BX8" s="233">
        <f>R8</f>
        <v>292491.9794922655</v>
      </c>
      <c r="BY8" s="233">
        <f>R8</f>
        <v>292491.9794922655</v>
      </c>
      <c r="BZ8" s="233">
        <f>R8</f>
        <v>292491.9794922655</v>
      </c>
      <c r="CA8" s="255">
        <f>SUM(BX8:BZ8)</f>
        <v>877475.93847679649</v>
      </c>
      <c r="CB8" s="234"/>
      <c r="CC8" s="233">
        <f>S8</f>
        <v>564275.49492351105</v>
      </c>
      <c r="CD8" s="233">
        <f>S8</f>
        <v>564275.49492351105</v>
      </c>
      <c r="CE8" s="233">
        <f>S8</f>
        <v>564275.49492351105</v>
      </c>
      <c r="CF8" s="255">
        <f t="shared" si="47"/>
        <v>1692826.4847705332</v>
      </c>
      <c r="CG8" s="235"/>
      <c r="CH8" s="110"/>
    </row>
    <row r="9" spans="1:175" s="10" customFormat="1" ht="9.75" customHeight="1" x14ac:dyDescent="0.15">
      <c r="A9" s="210" t="s">
        <v>180</v>
      </c>
      <c r="B9" s="257">
        <v>0.05</v>
      </c>
      <c r="C9" s="296">
        <v>-2E-3</v>
      </c>
      <c r="D9" s="211"/>
      <c r="E9" s="440"/>
      <c r="F9" s="446">
        <v>0.01</v>
      </c>
      <c r="G9" s="212">
        <v>0.03</v>
      </c>
      <c r="H9" s="213">
        <f>SUM(IF((0*(IF(ISBLANK(E9),C9,E9)))+(IF(ISBLANK(D9),B9,D9)) &lt; 0, 0, (0*(IF(ISBLANK(E9),C9,E9)))+(IF(ISBLANK(D9),B9,D9))))</f>
        <v>0.05</v>
      </c>
      <c r="I9" s="213">
        <f>SUM(IF((1*(IF(ISBLANK(E9),C9,E9)))+(IF(ISBLANK(D9),B9,D9)) &lt; 0, 0, (1*(IF(ISBLANK(E9),C9,E9)))+(IF(ISBLANK(D9),B9,D9))))</f>
        <v>4.8000000000000001E-2</v>
      </c>
      <c r="J9" s="258">
        <f>SUM(((1+F9)*(1+F9)*(1+F9)*(1+G9)*(1+G9)*(1+G9)*(1+H9)*(1+H9)*(1+H9)*(1+I9)*(1+I9)*(1+I9))-1)</f>
        <v>0.50012531730574872</v>
      </c>
      <c r="K9" s="213">
        <f>SUM(IF((2*(IF(ISBLANK(E9),C9,E9)))+(IF(ISBLANK(D9),B9,D9)) &lt; 0, 0, (2*(IF(ISBLANK(E9),C9,E9)))+(IF(ISBLANK(D9),B9,D9))))</f>
        <v>4.5999999999999999E-2</v>
      </c>
      <c r="L9" s="213">
        <f>SUM(IF((3*(IF(ISBLANK(E9),C9,E9)))+(IF(ISBLANK(D9),B9,D9)) &lt; 0, 0, (3*(IF(ISBLANK(E9),C9,E9)))+(IF(ISBLANK(D9),B9,D9))))</f>
        <v>4.4000000000000004E-2</v>
      </c>
      <c r="M9" s="213">
        <f>SUM(IF((4*(IF(ISBLANK(E9),C9,E9)))+(IF(ISBLANK(D9),B9,D9)) &lt; 0, 0, (4*(IF(ISBLANK(E9),C9,E9)))+(IF(ISBLANK(D9),B9,D9))))</f>
        <v>4.2000000000000003E-2</v>
      </c>
      <c r="N9" s="213">
        <f>SUM(IF((5*(IF(ISBLANK(E9),C9,E9)))+(IF(ISBLANK(D9),B9,D9)) &lt; 0, 0, (5*(IF(ISBLANK(E9),C9,E9)))+(IF(ISBLANK(D9),B9,D9))))</f>
        <v>0.04</v>
      </c>
      <c r="O9" s="258">
        <f>SUM(((1+K9)*(1+K9)*(1+K9)*(1+L9)*(1+L9)*(1+L9)*(1+M9)*(1+M9)*(1+M9)*(1+N9)*(1+N9)*(1+N9))-1)</f>
        <v>0.65729463469142413</v>
      </c>
      <c r="P9" s="213">
        <f>SUM(IF((6*(IF(ISBLANK(E9),C9,E9)))+(IF(ISBLANK(D9),B9,D9)) &lt; 0, 0, (6*(IF(ISBLANK(E9),C9,E9)))+(IF(ISBLANK(D9),B9,D9))))</f>
        <v>3.8000000000000006E-2</v>
      </c>
      <c r="Q9" s="213">
        <f>SUM(IF((7*(IF(ISBLANK(E9),C9,E9)))+(IF(ISBLANK(D9),B9,D9)) &lt; 0, 0, (7*(IF(ISBLANK(E9),C9,E9)))+(IF(ISBLANK(D9),B9,D9))))</f>
        <v>3.6000000000000004E-2</v>
      </c>
      <c r="R9" s="213">
        <f>SUM(IF((8*(IF(ISBLANK(E9),C9,E9)))+(IF(ISBLANK(D9),B9,D9)) &lt; 0, 0, (8*(IF(ISBLANK(E9),C9,E9)))+(IF(ISBLANK(D9),B9,D9))))</f>
        <v>3.4000000000000002E-2</v>
      </c>
      <c r="S9" s="213">
        <f>SUM(IF((9*(IF(ISBLANK(E9),C9,E9)))+(IF(ISBLANK(D9),B9,D9)) &lt; 0, 0, (9*(IF(ISBLANK(E9),C9,E9)))+(IF(ISBLANK(D9),B9,D9))))</f>
        <v>3.2000000000000001E-2</v>
      </c>
      <c r="T9" s="259">
        <f>SUM(((1+P9)*(1+P9)*(1+P9)*(1+Q9)*(1+Q9)*(1+Q9)*(1+R9)*(1+R9)*(1+R9)*(1+S9)*(1+S9)*(1+S9))-1)</f>
        <v>0.5110263398141377</v>
      </c>
      <c r="U9" s="459">
        <f>SUM(IF((12*(IF(ISBLANK(E9),C9,E9)))+(IF(ISBLANK(D9),B9,D9)) &lt; 0, 0, (12*(IF(ISBLANK(E9),C9,E9)))+(IF(ISBLANK(D9),B9,D9))))*12</f>
        <v>0.31200000000000006</v>
      </c>
      <c r="V9" s="258">
        <f>SUM(IF((15*(IF(ISBLANK(E9),C9,E9)))+(IF(ISBLANK(D9),B9,D9)) &lt; 0, 0, (15*(IF(ISBLANK(E9),C9,E9)))+(IF(ISBLANK(D9),B9,D9))))*12</f>
        <v>0.24000000000000005</v>
      </c>
      <c r="W9" s="259">
        <f>SUM(IF((18*(IF(ISBLANK(E9),C9,E9)))+(IF(ISBLANK(D9),B9,D9)) &lt; 0, 0, (18*(IF(ISBLANK(E9),C9,E9)))+(IF(ISBLANK(D9),B9,D9))))*12</f>
        <v>0.16799999999999998</v>
      </c>
      <c r="X9" s="216"/>
      <c r="Y9" s="498">
        <v>0</v>
      </c>
      <c r="Z9" s="213">
        <f>F9</f>
        <v>0.01</v>
      </c>
      <c r="AA9" s="213">
        <f>F9</f>
        <v>0.01</v>
      </c>
      <c r="AB9" s="213">
        <f>F9</f>
        <v>0.01</v>
      </c>
      <c r="AC9" s="258">
        <f t="shared" si="9"/>
        <v>0.03</v>
      </c>
      <c r="AD9" s="214"/>
      <c r="AE9" s="213">
        <f>G9</f>
        <v>0.03</v>
      </c>
      <c r="AF9" s="213">
        <f>G9</f>
        <v>0.03</v>
      </c>
      <c r="AG9" s="213">
        <f>G9</f>
        <v>0.03</v>
      </c>
      <c r="AH9" s="258">
        <f t="shared" si="10"/>
        <v>0.09</v>
      </c>
      <c r="AI9" s="214"/>
      <c r="AJ9" s="213">
        <f>H9</f>
        <v>0.05</v>
      </c>
      <c r="AK9" s="213">
        <f>H9</f>
        <v>0.05</v>
      </c>
      <c r="AL9" s="213">
        <f>H9</f>
        <v>0.05</v>
      </c>
      <c r="AM9" s="258">
        <f t="shared" si="11"/>
        <v>0.15000000000000002</v>
      </c>
      <c r="AN9" s="214"/>
      <c r="AO9" s="213">
        <f>I9</f>
        <v>4.8000000000000001E-2</v>
      </c>
      <c r="AP9" s="213">
        <f>I9</f>
        <v>4.8000000000000001E-2</v>
      </c>
      <c r="AQ9" s="213">
        <f>I9</f>
        <v>4.8000000000000001E-2</v>
      </c>
      <c r="AR9" s="258">
        <f t="shared" si="15"/>
        <v>0.14400000000000002</v>
      </c>
      <c r="AS9" s="214"/>
      <c r="AT9" s="213">
        <f>K9</f>
        <v>4.5999999999999999E-2</v>
      </c>
      <c r="AU9" s="213">
        <f>K9</f>
        <v>4.5999999999999999E-2</v>
      </c>
      <c r="AV9" s="213">
        <f>K9</f>
        <v>4.5999999999999999E-2</v>
      </c>
      <c r="AW9" s="258">
        <f t="shared" si="19"/>
        <v>0.13800000000000001</v>
      </c>
      <c r="AX9" s="214"/>
      <c r="AY9" s="213">
        <f>L9</f>
        <v>4.4000000000000004E-2</v>
      </c>
      <c r="AZ9" s="213">
        <f>L9</f>
        <v>4.4000000000000004E-2</v>
      </c>
      <c r="BA9" s="213">
        <f>L9</f>
        <v>4.4000000000000004E-2</v>
      </c>
      <c r="BB9" s="258">
        <f t="shared" si="23"/>
        <v>0.13200000000000001</v>
      </c>
      <c r="BC9" s="214"/>
      <c r="BD9" s="213">
        <f>M9</f>
        <v>4.2000000000000003E-2</v>
      </c>
      <c r="BE9" s="213">
        <f>M9</f>
        <v>4.2000000000000003E-2</v>
      </c>
      <c r="BF9" s="213">
        <f>M9</f>
        <v>4.2000000000000003E-2</v>
      </c>
      <c r="BG9" s="258">
        <f t="shared" si="27"/>
        <v>0.126</v>
      </c>
      <c r="BH9" s="214"/>
      <c r="BI9" s="213">
        <f>N9</f>
        <v>0.04</v>
      </c>
      <c r="BJ9" s="213">
        <f>N9</f>
        <v>0.04</v>
      </c>
      <c r="BK9" s="213">
        <f>N9</f>
        <v>0.04</v>
      </c>
      <c r="BL9" s="258">
        <f t="shared" ref="BL9:BL15" si="51">SUM((BI9+BJ9+BK9))</f>
        <v>0.12</v>
      </c>
      <c r="BM9" s="214"/>
      <c r="BN9" s="213">
        <f>P9</f>
        <v>3.8000000000000006E-2</v>
      </c>
      <c r="BO9" s="213">
        <f>P9</f>
        <v>3.8000000000000006E-2</v>
      </c>
      <c r="BP9" s="213">
        <f>P9</f>
        <v>3.8000000000000006E-2</v>
      </c>
      <c r="BQ9" s="258">
        <f t="shared" ref="BQ9:BQ15" si="52">SUM((BN9+BO9+BP9))</f>
        <v>0.11400000000000002</v>
      </c>
      <c r="BR9" s="214"/>
      <c r="BS9" s="213">
        <f>Q9</f>
        <v>3.6000000000000004E-2</v>
      </c>
      <c r="BT9" s="213">
        <f>Q9</f>
        <v>3.6000000000000004E-2</v>
      </c>
      <c r="BU9" s="213">
        <f>Q9</f>
        <v>3.6000000000000004E-2</v>
      </c>
      <c r="BV9" s="258">
        <f t="shared" ref="BV9:BV15" si="53">SUM((BS9+BT9+BU9))</f>
        <v>0.10800000000000001</v>
      </c>
      <c r="BW9" s="214"/>
      <c r="BX9" s="213">
        <f>R9</f>
        <v>3.4000000000000002E-2</v>
      </c>
      <c r="BY9" s="213">
        <f>R9</f>
        <v>3.4000000000000002E-2</v>
      </c>
      <c r="BZ9" s="213">
        <f>R9</f>
        <v>3.4000000000000002E-2</v>
      </c>
      <c r="CA9" s="258">
        <f t="shared" ref="CA9:CA16" si="54">SUM((BX9+BY9+BZ9))</f>
        <v>0.10200000000000001</v>
      </c>
      <c r="CB9" s="214"/>
      <c r="CC9" s="213">
        <f>S9</f>
        <v>3.2000000000000001E-2</v>
      </c>
      <c r="CD9" s="213">
        <f>S9</f>
        <v>3.2000000000000001E-2</v>
      </c>
      <c r="CE9" s="213">
        <f>S9</f>
        <v>3.2000000000000001E-2</v>
      </c>
      <c r="CF9" s="258">
        <f t="shared" ref="CF9:CF16" si="55">SUM((CC9+CD9+CE9))</f>
        <v>9.6000000000000002E-2</v>
      </c>
      <c r="CG9" s="215"/>
    </row>
    <row r="10" spans="1:175" s="10" customFormat="1" ht="9.75" customHeight="1" x14ac:dyDescent="0.15">
      <c r="A10" s="482" t="s">
        <v>181</v>
      </c>
      <c r="B10" s="260">
        <v>0.06</v>
      </c>
      <c r="C10" s="293">
        <v>-5.0000000000000001E-3</v>
      </c>
      <c r="D10" s="194"/>
      <c r="E10" s="441"/>
      <c r="F10" s="118">
        <v>0</v>
      </c>
      <c r="G10" s="126">
        <v>0.02</v>
      </c>
      <c r="H10" s="112">
        <f t="shared" ref="H10:H13" si="56">SUM(IF((0*(IF(ISBLANK(E10),C10,E10)))+(IF(ISBLANK(D10),B10,D10)) &lt; 0, 0, (0*(IF(ISBLANK(E10),C10,E10)))+(IF(ISBLANK(D10),B10,D10))))</f>
        <v>0.06</v>
      </c>
      <c r="I10" s="112">
        <f t="shared" ref="I10:I13" si="57">SUM(IF((1*(IF(ISBLANK(E10),C10,E10)))+(IF(ISBLANK(D10),B10,D10)) &lt; 0, 0, (1*(IF(ISBLANK(E10),C10,E10)))+(IF(ISBLANK(D10),B10,D10))))</f>
        <v>5.5E-2</v>
      </c>
      <c r="J10" s="261">
        <f t="shared" ref="J10:J15" si="58">SUM(((1+F10)*(1+F10)*(1+F10)*(1+G10)*(1+G10)*(1+G10)*(1+H10)*(1+H10)*(1+H10)*(1+I10)*(1+I10)*(1+I10))-1)</f>
        <v>0.48414211805692831</v>
      </c>
      <c r="K10" s="112">
        <f t="shared" ref="K10:K13" si="59">SUM(IF((2*(IF(ISBLANK(E10),C10,E10)))+(IF(ISBLANK(D10),B10,D10)) &lt; 0, 0, (2*(IF(ISBLANK(E10),C10,E10)))+(IF(ISBLANK(D10),B10,D10))))</f>
        <v>4.9999999999999996E-2</v>
      </c>
      <c r="L10" s="112">
        <f t="shared" ref="L10:L13" si="60">SUM(IF((3*(IF(ISBLANK(E10),C10,E10)))+(IF(ISBLANK(D10),B10,D10)) &lt; 0, 0, (3*(IF(ISBLANK(E10),C10,E10)))+(IF(ISBLANK(D10),B10,D10))))</f>
        <v>4.4999999999999998E-2</v>
      </c>
      <c r="M10" s="112">
        <f t="shared" ref="M10:M13" si="61">SUM(IF((4*(IF(ISBLANK(E10),C10,E10)))+(IF(ISBLANK(D10),B10,D10)) &lt; 0, 0, (4*(IF(ISBLANK(E10),C10,E10)))+(IF(ISBLANK(D10),B10,D10))))</f>
        <v>3.9999999999999994E-2</v>
      </c>
      <c r="N10" s="112">
        <f t="shared" ref="N10:N13" si="62">SUM(IF((5*(IF(ISBLANK(E10),C10,E10)))+(IF(ISBLANK(D10),B10,D10)) &lt; 0, 0, (5*(IF(ISBLANK(E10),C10,E10)))+(IF(ISBLANK(D10),B10,D10))))</f>
        <v>3.4999999999999996E-2</v>
      </c>
      <c r="O10" s="261">
        <f t="shared" ref="O10:O15" si="63">SUM(((1+K10)*(1+K10)*(1+K10)*(1+L10)*(1+L10)*(1+L10)*(1+M10)*(1+M10)*(1+M10)*(1+N10)*(1+N10)*(1+N10))-1)</f>
        <v>0.64754708783075721</v>
      </c>
      <c r="P10" s="112">
        <f t="shared" ref="P10:P13" si="64">SUM(IF((6*(IF(ISBLANK(E10),C10,E10)))+(IF(ISBLANK(D10),B10,D10)) &lt; 0, 0, (6*(IF(ISBLANK(E10),C10,E10)))+(IF(ISBLANK(D10),B10,D10))))</f>
        <v>0.03</v>
      </c>
      <c r="Q10" s="112">
        <f t="shared" ref="Q10:Q13" si="65">SUM(IF((7*(IF(ISBLANK(E10),C10,E10)))+(IF(ISBLANK(D10),B10,D10)) &lt; 0, 0, (7*(IF(ISBLANK(E10),C10,E10)))+(IF(ISBLANK(D10),B10,D10))))</f>
        <v>2.4999999999999994E-2</v>
      </c>
      <c r="R10" s="112">
        <f t="shared" ref="R10:R13" si="66">SUM(IF((8*(IF(ISBLANK(E10),C10,E10)))+(IF(ISBLANK(D10),B10,D10)) &lt; 0, 0, (8*(IF(ISBLANK(E10),C10,E10)))+(IF(ISBLANK(D10),B10,D10))))</f>
        <v>1.9999999999999997E-2</v>
      </c>
      <c r="S10" s="112">
        <f t="shared" ref="S10:S13" si="67">SUM(IF((9*(IF(ISBLANK(E10),C10,E10)))+(IF(ISBLANK(D10),B10,D10)) &lt; 0, 0, (9*(IF(ISBLANK(E10),C10,E10)))+(IF(ISBLANK(D10),B10,D10))))</f>
        <v>1.4999999999999999E-2</v>
      </c>
      <c r="T10" s="262">
        <f t="shared" ref="T10:T15" si="68">SUM(((1+P10)*(1+P10)*(1+P10)*(1+Q10)*(1+Q10)*(1+Q10)*(1+R10)*(1+R10)*(1+R10)*(1+S10)*(1+S10)*(1+S10))-1)</f>
        <v>0.30581577950677752</v>
      </c>
      <c r="U10" s="460">
        <f>SUM(IF((12*(IF(ISBLANK(E10),C10,E10)))+(IF(ISBLANK(D10),B10,D10)) &lt; 0, 0, (12*(IF(ISBLANK(E10),C10,E10)))+(IF(ISBLANK(D10),B10,D10))))*12</f>
        <v>0</v>
      </c>
      <c r="V10" s="261">
        <f>SUM(IF((15*(IF(ISBLANK(E10),C10,E10)))+(IF(ISBLANK(D10),B10,D10)) &lt; 0, 0, (15*(IF(ISBLANK(E10),C10,E10)))+(IF(ISBLANK(D10),B10,D10))))*12</f>
        <v>0</v>
      </c>
      <c r="W10" s="262">
        <f>SUM(IF((18*(IF(ISBLANK(E10),C10,E10)))+(IF(ISBLANK(D10),B10,D10)) &lt; 0, 0, (18*(IF(ISBLANK(E10),C10,E10)))+(IF(ISBLANK(D10),B10,D10))))*12</f>
        <v>0</v>
      </c>
      <c r="X10" s="174"/>
      <c r="Y10" s="499">
        <v>0</v>
      </c>
      <c r="Z10" s="112">
        <f t="shared" ref="Z10:Z13" si="69">F10</f>
        <v>0</v>
      </c>
      <c r="AA10" s="112">
        <f t="shared" ref="AA10:AA13" si="70">F10</f>
        <v>0</v>
      </c>
      <c r="AB10" s="112">
        <f t="shared" ref="AB10:AB13" si="71">F10</f>
        <v>0</v>
      </c>
      <c r="AC10" s="261">
        <f t="shared" si="9"/>
        <v>0</v>
      </c>
      <c r="AD10" s="114"/>
      <c r="AE10" s="112">
        <f t="shared" ref="AE10:AE13" si="72">G10</f>
        <v>0.02</v>
      </c>
      <c r="AF10" s="112">
        <f t="shared" ref="AF10:AF13" si="73">G10</f>
        <v>0.02</v>
      </c>
      <c r="AG10" s="112">
        <f t="shared" ref="AG10:AG13" si="74">G10</f>
        <v>0.02</v>
      </c>
      <c r="AH10" s="261">
        <f t="shared" si="10"/>
        <v>0.06</v>
      </c>
      <c r="AI10" s="114"/>
      <c r="AJ10" s="112">
        <f t="shared" ref="AJ10:AJ13" si="75">H10</f>
        <v>0.06</v>
      </c>
      <c r="AK10" s="112">
        <f t="shared" ref="AK10:AK13" si="76">H10</f>
        <v>0.06</v>
      </c>
      <c r="AL10" s="112">
        <f t="shared" ref="AL10:AL13" si="77">H10</f>
        <v>0.06</v>
      </c>
      <c r="AM10" s="261">
        <f t="shared" si="11"/>
        <v>0.18</v>
      </c>
      <c r="AN10" s="114"/>
      <c r="AO10" s="112">
        <f t="shared" ref="AO10:AO13" si="78">I10</f>
        <v>5.5E-2</v>
      </c>
      <c r="AP10" s="112">
        <f t="shared" ref="AP10:AP13" si="79">I10</f>
        <v>5.5E-2</v>
      </c>
      <c r="AQ10" s="112">
        <f t="shared" ref="AQ10:AQ13" si="80">I10</f>
        <v>5.5E-2</v>
      </c>
      <c r="AR10" s="261">
        <f t="shared" si="15"/>
        <v>0.16500000000000001</v>
      </c>
      <c r="AS10" s="114"/>
      <c r="AT10" s="112">
        <f t="shared" ref="AT10:AT13" si="81">K10</f>
        <v>4.9999999999999996E-2</v>
      </c>
      <c r="AU10" s="112">
        <f t="shared" ref="AU10:AU13" si="82">K10</f>
        <v>4.9999999999999996E-2</v>
      </c>
      <c r="AV10" s="112">
        <f t="shared" ref="AV10:AV13" si="83">K10</f>
        <v>4.9999999999999996E-2</v>
      </c>
      <c r="AW10" s="261">
        <f t="shared" si="19"/>
        <v>0.15</v>
      </c>
      <c r="AX10" s="114"/>
      <c r="AY10" s="112">
        <f t="shared" ref="AY10:AY13" si="84">L10</f>
        <v>4.4999999999999998E-2</v>
      </c>
      <c r="AZ10" s="112">
        <f t="shared" ref="AZ10:AZ13" si="85">L10</f>
        <v>4.4999999999999998E-2</v>
      </c>
      <c r="BA10" s="112">
        <f t="shared" ref="BA10:BA13" si="86">L10</f>
        <v>4.4999999999999998E-2</v>
      </c>
      <c r="BB10" s="261">
        <f t="shared" si="23"/>
        <v>0.13500000000000001</v>
      </c>
      <c r="BC10" s="114"/>
      <c r="BD10" s="112">
        <f t="shared" ref="BD10:BD13" si="87">M10</f>
        <v>3.9999999999999994E-2</v>
      </c>
      <c r="BE10" s="112">
        <f t="shared" ref="BE10:BE13" si="88">M10</f>
        <v>3.9999999999999994E-2</v>
      </c>
      <c r="BF10" s="112">
        <f t="shared" ref="BF10:BF13" si="89">M10</f>
        <v>3.9999999999999994E-2</v>
      </c>
      <c r="BG10" s="261">
        <f t="shared" si="27"/>
        <v>0.11999999999999998</v>
      </c>
      <c r="BH10" s="114"/>
      <c r="BI10" s="112">
        <f t="shared" ref="BI10:BI13" si="90">N10</f>
        <v>3.4999999999999996E-2</v>
      </c>
      <c r="BJ10" s="112">
        <f t="shared" ref="BJ10:BJ13" si="91">N10</f>
        <v>3.4999999999999996E-2</v>
      </c>
      <c r="BK10" s="112">
        <f t="shared" ref="BK10:BK13" si="92">N10</f>
        <v>3.4999999999999996E-2</v>
      </c>
      <c r="BL10" s="261">
        <f t="shared" si="51"/>
        <v>0.10499999999999998</v>
      </c>
      <c r="BM10" s="114"/>
      <c r="BN10" s="112">
        <f t="shared" ref="BN10:BN13" si="93">P10</f>
        <v>0.03</v>
      </c>
      <c r="BO10" s="112">
        <f t="shared" ref="BO10:BO13" si="94">P10</f>
        <v>0.03</v>
      </c>
      <c r="BP10" s="112">
        <f t="shared" ref="BP10:BP13" si="95">P10</f>
        <v>0.03</v>
      </c>
      <c r="BQ10" s="261">
        <f t="shared" si="52"/>
        <v>0.09</v>
      </c>
      <c r="BR10" s="114"/>
      <c r="BS10" s="112">
        <f t="shared" ref="BS10:BS13" si="96">Q10</f>
        <v>2.4999999999999994E-2</v>
      </c>
      <c r="BT10" s="112">
        <f t="shared" ref="BT10:BT13" si="97">Q10</f>
        <v>2.4999999999999994E-2</v>
      </c>
      <c r="BU10" s="112">
        <f t="shared" ref="BU10:BU13" si="98">Q10</f>
        <v>2.4999999999999994E-2</v>
      </c>
      <c r="BV10" s="261">
        <f t="shared" si="53"/>
        <v>7.4999999999999983E-2</v>
      </c>
      <c r="BW10" s="114"/>
      <c r="BX10" s="112">
        <f t="shared" ref="BX10:BX13" si="99">R10</f>
        <v>1.9999999999999997E-2</v>
      </c>
      <c r="BY10" s="112">
        <f t="shared" ref="BY10:BY13" si="100">R10</f>
        <v>1.9999999999999997E-2</v>
      </c>
      <c r="BZ10" s="112">
        <f t="shared" ref="BZ10:BZ13" si="101">R10</f>
        <v>1.9999999999999997E-2</v>
      </c>
      <c r="CA10" s="261">
        <f t="shared" si="54"/>
        <v>5.9999999999999991E-2</v>
      </c>
      <c r="CB10" s="114"/>
      <c r="CC10" s="112">
        <f t="shared" ref="CC10:CC13" si="102">S10</f>
        <v>1.4999999999999999E-2</v>
      </c>
      <c r="CD10" s="112">
        <f t="shared" ref="CD10:CD13" si="103">S10</f>
        <v>1.4999999999999999E-2</v>
      </c>
      <c r="CE10" s="112">
        <f t="shared" ref="CE10:CE13" si="104">S10</f>
        <v>1.4999999999999999E-2</v>
      </c>
      <c r="CF10" s="261">
        <f t="shared" si="55"/>
        <v>4.4999999999999998E-2</v>
      </c>
      <c r="CG10" s="113"/>
    </row>
    <row r="11" spans="1:175" s="10" customFormat="1" ht="9.75" customHeight="1" x14ac:dyDescent="0.15">
      <c r="A11" s="482" t="s">
        <v>183</v>
      </c>
      <c r="B11" s="260">
        <v>0.06</v>
      </c>
      <c r="C11" s="293">
        <v>-2E-3</v>
      </c>
      <c r="D11" s="194"/>
      <c r="E11" s="441"/>
      <c r="F11" s="118">
        <v>0</v>
      </c>
      <c r="G11" s="126">
        <v>0.02</v>
      </c>
      <c r="H11" s="112">
        <f t="shared" si="56"/>
        <v>0.06</v>
      </c>
      <c r="I11" s="112">
        <f t="shared" si="57"/>
        <v>5.7999999999999996E-2</v>
      </c>
      <c r="J11" s="261">
        <f t="shared" si="58"/>
        <v>0.496839082842915</v>
      </c>
      <c r="K11" s="112">
        <f t="shared" si="59"/>
        <v>5.5999999999999994E-2</v>
      </c>
      <c r="L11" s="112">
        <f t="shared" si="60"/>
        <v>5.3999999999999999E-2</v>
      </c>
      <c r="M11" s="112">
        <f t="shared" si="61"/>
        <v>5.1999999999999998E-2</v>
      </c>
      <c r="N11" s="112">
        <f t="shared" si="62"/>
        <v>4.9999999999999996E-2</v>
      </c>
      <c r="O11" s="261">
        <f t="shared" si="63"/>
        <v>0.85835510009405391</v>
      </c>
      <c r="P11" s="112">
        <f t="shared" si="64"/>
        <v>4.8000000000000001E-2</v>
      </c>
      <c r="Q11" s="112">
        <f t="shared" si="65"/>
        <v>4.5999999999999999E-2</v>
      </c>
      <c r="R11" s="112">
        <f t="shared" si="66"/>
        <v>4.3999999999999997E-2</v>
      </c>
      <c r="S11" s="112">
        <f t="shared" si="67"/>
        <v>4.1999999999999996E-2</v>
      </c>
      <c r="T11" s="262">
        <f t="shared" si="68"/>
        <v>0.69583484415024044</v>
      </c>
      <c r="U11" s="460">
        <f>SUM(IF((12*(IF(ISBLANK(E11),C11,E11)))+(IF(ISBLANK(D11),B11,D11)) &lt; 0, 0, (12*(IF(ISBLANK(E11),C11,E11)))+(IF(ISBLANK(D11),B11,D11))))*12</f>
        <v>0.43199999999999994</v>
      </c>
      <c r="V11" s="261">
        <f>SUM(IF((15*(IF(ISBLANK(E11),C11,E11)))+(IF(ISBLANK(D11),B11,D11)) &lt; 0, 0, (15*(IF(ISBLANK(E11),C11,E11)))+(IF(ISBLANK(D11),B11,D11))))*12</f>
        <v>0.36</v>
      </c>
      <c r="W11" s="262">
        <f>SUM(IF((18*(IF(ISBLANK(E11),C11,E11)))+(IF(ISBLANK(D11),B11,D11)) &lt; 0, 0, (18*(IF(ISBLANK(E11),C11,E11)))+(IF(ISBLANK(D11),B11,D11))))*12</f>
        <v>0.28799999999999992</v>
      </c>
      <c r="X11" s="174"/>
      <c r="Y11" s="499">
        <v>0</v>
      </c>
      <c r="Z11" s="112">
        <f t="shared" si="69"/>
        <v>0</v>
      </c>
      <c r="AA11" s="112">
        <f t="shared" si="70"/>
        <v>0</v>
      </c>
      <c r="AB11" s="112">
        <f t="shared" si="71"/>
        <v>0</v>
      </c>
      <c r="AC11" s="261">
        <f t="shared" si="9"/>
        <v>0</v>
      </c>
      <c r="AD11" s="114"/>
      <c r="AE11" s="112">
        <f t="shared" si="72"/>
        <v>0.02</v>
      </c>
      <c r="AF11" s="112">
        <f t="shared" si="73"/>
        <v>0.02</v>
      </c>
      <c r="AG11" s="112">
        <f t="shared" si="74"/>
        <v>0.02</v>
      </c>
      <c r="AH11" s="261">
        <f t="shared" si="10"/>
        <v>0.06</v>
      </c>
      <c r="AI11" s="114"/>
      <c r="AJ11" s="112">
        <f t="shared" si="75"/>
        <v>0.06</v>
      </c>
      <c r="AK11" s="112">
        <f t="shared" si="76"/>
        <v>0.06</v>
      </c>
      <c r="AL11" s="112">
        <f t="shared" si="77"/>
        <v>0.06</v>
      </c>
      <c r="AM11" s="261">
        <f t="shared" si="11"/>
        <v>0.18</v>
      </c>
      <c r="AN11" s="114"/>
      <c r="AO11" s="112">
        <f t="shared" si="78"/>
        <v>5.7999999999999996E-2</v>
      </c>
      <c r="AP11" s="112">
        <f t="shared" si="79"/>
        <v>5.7999999999999996E-2</v>
      </c>
      <c r="AQ11" s="112">
        <f t="shared" si="80"/>
        <v>5.7999999999999996E-2</v>
      </c>
      <c r="AR11" s="261">
        <f t="shared" si="15"/>
        <v>0.17399999999999999</v>
      </c>
      <c r="AS11" s="114"/>
      <c r="AT11" s="112">
        <f t="shared" si="81"/>
        <v>5.5999999999999994E-2</v>
      </c>
      <c r="AU11" s="112">
        <f t="shared" si="82"/>
        <v>5.5999999999999994E-2</v>
      </c>
      <c r="AV11" s="112">
        <f t="shared" si="83"/>
        <v>5.5999999999999994E-2</v>
      </c>
      <c r="AW11" s="261">
        <f t="shared" si="19"/>
        <v>0.16799999999999998</v>
      </c>
      <c r="AX11" s="114"/>
      <c r="AY11" s="112">
        <f t="shared" si="84"/>
        <v>5.3999999999999999E-2</v>
      </c>
      <c r="AZ11" s="112">
        <f t="shared" si="85"/>
        <v>5.3999999999999999E-2</v>
      </c>
      <c r="BA11" s="112">
        <f t="shared" si="86"/>
        <v>5.3999999999999999E-2</v>
      </c>
      <c r="BB11" s="261">
        <f t="shared" si="23"/>
        <v>0.16200000000000001</v>
      </c>
      <c r="BC11" s="114"/>
      <c r="BD11" s="112">
        <f t="shared" si="87"/>
        <v>5.1999999999999998E-2</v>
      </c>
      <c r="BE11" s="112">
        <f t="shared" si="88"/>
        <v>5.1999999999999998E-2</v>
      </c>
      <c r="BF11" s="112">
        <f t="shared" si="89"/>
        <v>5.1999999999999998E-2</v>
      </c>
      <c r="BG11" s="261">
        <f t="shared" si="27"/>
        <v>0.156</v>
      </c>
      <c r="BH11" s="114"/>
      <c r="BI11" s="112">
        <f t="shared" si="90"/>
        <v>4.9999999999999996E-2</v>
      </c>
      <c r="BJ11" s="112">
        <f t="shared" si="91"/>
        <v>4.9999999999999996E-2</v>
      </c>
      <c r="BK11" s="112">
        <f t="shared" si="92"/>
        <v>4.9999999999999996E-2</v>
      </c>
      <c r="BL11" s="261">
        <f t="shared" si="51"/>
        <v>0.15</v>
      </c>
      <c r="BM11" s="114"/>
      <c r="BN11" s="112">
        <f t="shared" si="93"/>
        <v>4.8000000000000001E-2</v>
      </c>
      <c r="BO11" s="112">
        <f t="shared" si="94"/>
        <v>4.8000000000000001E-2</v>
      </c>
      <c r="BP11" s="112">
        <f t="shared" si="95"/>
        <v>4.8000000000000001E-2</v>
      </c>
      <c r="BQ11" s="261">
        <f t="shared" si="52"/>
        <v>0.14400000000000002</v>
      </c>
      <c r="BR11" s="114"/>
      <c r="BS11" s="112">
        <f t="shared" si="96"/>
        <v>4.5999999999999999E-2</v>
      </c>
      <c r="BT11" s="112">
        <f t="shared" si="97"/>
        <v>4.5999999999999999E-2</v>
      </c>
      <c r="BU11" s="112">
        <f t="shared" si="98"/>
        <v>4.5999999999999999E-2</v>
      </c>
      <c r="BV11" s="261">
        <f t="shared" si="53"/>
        <v>0.13800000000000001</v>
      </c>
      <c r="BW11" s="114"/>
      <c r="BX11" s="112">
        <f t="shared" si="99"/>
        <v>4.3999999999999997E-2</v>
      </c>
      <c r="BY11" s="112">
        <f t="shared" si="100"/>
        <v>4.3999999999999997E-2</v>
      </c>
      <c r="BZ11" s="112">
        <f t="shared" si="101"/>
        <v>4.3999999999999997E-2</v>
      </c>
      <c r="CA11" s="261">
        <f t="shared" si="54"/>
        <v>0.13200000000000001</v>
      </c>
      <c r="CB11" s="114"/>
      <c r="CC11" s="112">
        <f t="shared" si="102"/>
        <v>4.1999999999999996E-2</v>
      </c>
      <c r="CD11" s="112">
        <f t="shared" si="103"/>
        <v>4.1999999999999996E-2</v>
      </c>
      <c r="CE11" s="112">
        <f t="shared" si="104"/>
        <v>4.1999999999999996E-2</v>
      </c>
      <c r="CF11" s="261">
        <f t="shared" si="55"/>
        <v>0.126</v>
      </c>
      <c r="CG11" s="113"/>
    </row>
    <row r="12" spans="1:175" s="10" customFormat="1" ht="9.75" customHeight="1" x14ac:dyDescent="0.15">
      <c r="A12" s="482" t="s">
        <v>182</v>
      </c>
      <c r="B12" s="260">
        <v>0.06</v>
      </c>
      <c r="C12" s="293">
        <v>-1.7999999999999999E-2</v>
      </c>
      <c r="D12" s="194"/>
      <c r="E12" s="441"/>
      <c r="F12" s="118">
        <v>0</v>
      </c>
      <c r="G12" s="126">
        <v>0.05</v>
      </c>
      <c r="H12" s="112">
        <f t="shared" si="56"/>
        <v>0.06</v>
      </c>
      <c r="I12" s="112">
        <f t="shared" si="57"/>
        <v>4.1999999999999996E-2</v>
      </c>
      <c r="J12" s="261">
        <f t="shared" si="58"/>
        <v>0.55987087729929375</v>
      </c>
      <c r="K12" s="112">
        <f t="shared" si="59"/>
        <v>2.4E-2</v>
      </c>
      <c r="L12" s="112">
        <f t="shared" si="60"/>
        <v>6.0000000000000053E-3</v>
      </c>
      <c r="M12" s="112">
        <f t="shared" si="61"/>
        <v>0</v>
      </c>
      <c r="N12" s="112">
        <f t="shared" si="62"/>
        <v>0</v>
      </c>
      <c r="O12" s="261">
        <f t="shared" si="63"/>
        <v>9.3185372877226058E-2</v>
      </c>
      <c r="P12" s="112">
        <f t="shared" si="64"/>
        <v>0</v>
      </c>
      <c r="Q12" s="112">
        <f t="shared" si="65"/>
        <v>0</v>
      </c>
      <c r="R12" s="112">
        <f t="shared" si="66"/>
        <v>0</v>
      </c>
      <c r="S12" s="112">
        <f t="shared" si="67"/>
        <v>0</v>
      </c>
      <c r="T12" s="262">
        <f t="shared" si="68"/>
        <v>0</v>
      </c>
      <c r="U12" s="460">
        <f>SUM(IF((12*(IF(ISBLANK(E12),C12,E12)))+(IF(ISBLANK(D12),B12,D12)) &lt; 0, 0, (12*(IF(ISBLANK(E12),C12,E12)))+(IF(ISBLANK(D12),B12,D12))))*12</f>
        <v>0</v>
      </c>
      <c r="V12" s="261">
        <f>SUM(IF((15*(IF(ISBLANK(E12),C12,E12)))+(IF(ISBLANK(D12),B12,D12)) &lt; 0, 0, (15*(IF(ISBLANK(E12),C12,E12)))+(IF(ISBLANK(D12),B12,D12))))*12</f>
        <v>0</v>
      </c>
      <c r="W12" s="262">
        <f>SUM(IF((18*(IF(ISBLANK(E12),C12,E12)))+(IF(ISBLANK(D12),B12,D12)) &lt; 0, 0, (18*(IF(ISBLANK(E12),C12,E12)))+(IF(ISBLANK(D12),B12,D12))))*12</f>
        <v>0</v>
      </c>
      <c r="X12" s="174"/>
      <c r="Y12" s="499">
        <v>0</v>
      </c>
      <c r="Z12" s="112">
        <f t="shared" si="69"/>
        <v>0</v>
      </c>
      <c r="AA12" s="112">
        <f t="shared" si="70"/>
        <v>0</v>
      </c>
      <c r="AB12" s="112">
        <f t="shared" si="71"/>
        <v>0</v>
      </c>
      <c r="AC12" s="261">
        <f t="shared" si="9"/>
        <v>0</v>
      </c>
      <c r="AD12" s="114"/>
      <c r="AE12" s="112">
        <f t="shared" si="72"/>
        <v>0.05</v>
      </c>
      <c r="AF12" s="112">
        <f t="shared" si="73"/>
        <v>0.05</v>
      </c>
      <c r="AG12" s="112">
        <f t="shared" si="74"/>
        <v>0.05</v>
      </c>
      <c r="AH12" s="261">
        <f t="shared" si="10"/>
        <v>0.15000000000000002</v>
      </c>
      <c r="AI12" s="114"/>
      <c r="AJ12" s="112">
        <f t="shared" si="75"/>
        <v>0.06</v>
      </c>
      <c r="AK12" s="112">
        <f t="shared" si="76"/>
        <v>0.06</v>
      </c>
      <c r="AL12" s="112">
        <f t="shared" si="77"/>
        <v>0.06</v>
      </c>
      <c r="AM12" s="261">
        <f t="shared" si="11"/>
        <v>0.18</v>
      </c>
      <c r="AN12" s="114"/>
      <c r="AO12" s="112">
        <f t="shared" si="78"/>
        <v>4.1999999999999996E-2</v>
      </c>
      <c r="AP12" s="112">
        <f t="shared" si="79"/>
        <v>4.1999999999999996E-2</v>
      </c>
      <c r="AQ12" s="112">
        <f t="shared" si="80"/>
        <v>4.1999999999999996E-2</v>
      </c>
      <c r="AR12" s="261">
        <f t="shared" si="15"/>
        <v>0.126</v>
      </c>
      <c r="AS12" s="114"/>
      <c r="AT12" s="112">
        <f t="shared" si="81"/>
        <v>2.4E-2</v>
      </c>
      <c r="AU12" s="112">
        <f t="shared" si="82"/>
        <v>2.4E-2</v>
      </c>
      <c r="AV12" s="112">
        <f t="shared" si="83"/>
        <v>2.4E-2</v>
      </c>
      <c r="AW12" s="261">
        <f t="shared" si="19"/>
        <v>7.2000000000000008E-2</v>
      </c>
      <c r="AX12" s="114"/>
      <c r="AY12" s="112">
        <f t="shared" si="84"/>
        <v>6.0000000000000053E-3</v>
      </c>
      <c r="AZ12" s="112">
        <f t="shared" si="85"/>
        <v>6.0000000000000053E-3</v>
      </c>
      <c r="BA12" s="112">
        <f t="shared" si="86"/>
        <v>6.0000000000000053E-3</v>
      </c>
      <c r="BB12" s="261">
        <f t="shared" si="23"/>
        <v>1.8000000000000016E-2</v>
      </c>
      <c r="BC12" s="114"/>
      <c r="BD12" s="112">
        <f t="shared" si="87"/>
        <v>0</v>
      </c>
      <c r="BE12" s="112">
        <f t="shared" si="88"/>
        <v>0</v>
      </c>
      <c r="BF12" s="112">
        <f t="shared" si="89"/>
        <v>0</v>
      </c>
      <c r="BG12" s="261">
        <f t="shared" si="27"/>
        <v>0</v>
      </c>
      <c r="BH12" s="114"/>
      <c r="BI12" s="112">
        <f t="shared" si="90"/>
        <v>0</v>
      </c>
      <c r="BJ12" s="112">
        <f t="shared" si="91"/>
        <v>0</v>
      </c>
      <c r="BK12" s="112">
        <f t="shared" si="92"/>
        <v>0</v>
      </c>
      <c r="BL12" s="261">
        <f t="shared" si="51"/>
        <v>0</v>
      </c>
      <c r="BM12" s="114"/>
      <c r="BN12" s="112">
        <f t="shared" si="93"/>
        <v>0</v>
      </c>
      <c r="BO12" s="112">
        <f t="shared" si="94"/>
        <v>0</v>
      </c>
      <c r="BP12" s="112">
        <f t="shared" si="95"/>
        <v>0</v>
      </c>
      <c r="BQ12" s="261">
        <f t="shared" si="52"/>
        <v>0</v>
      </c>
      <c r="BR12" s="114"/>
      <c r="BS12" s="112">
        <f t="shared" si="96"/>
        <v>0</v>
      </c>
      <c r="BT12" s="112">
        <f t="shared" si="97"/>
        <v>0</v>
      </c>
      <c r="BU12" s="112">
        <f t="shared" si="98"/>
        <v>0</v>
      </c>
      <c r="BV12" s="261">
        <f t="shared" si="53"/>
        <v>0</v>
      </c>
      <c r="BW12" s="114"/>
      <c r="BX12" s="112">
        <f t="shared" si="99"/>
        <v>0</v>
      </c>
      <c r="BY12" s="112">
        <f t="shared" si="100"/>
        <v>0</v>
      </c>
      <c r="BZ12" s="112">
        <f t="shared" si="101"/>
        <v>0</v>
      </c>
      <c r="CA12" s="261">
        <f t="shared" si="54"/>
        <v>0</v>
      </c>
      <c r="CB12" s="114"/>
      <c r="CC12" s="112">
        <f t="shared" si="102"/>
        <v>0</v>
      </c>
      <c r="CD12" s="112">
        <f t="shared" si="103"/>
        <v>0</v>
      </c>
      <c r="CE12" s="112">
        <f t="shared" si="104"/>
        <v>0</v>
      </c>
      <c r="CF12" s="261">
        <f t="shared" si="55"/>
        <v>0</v>
      </c>
      <c r="CG12" s="113"/>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row>
    <row r="13" spans="1:175" s="10" customFormat="1" ht="9.75" customHeight="1" thickBot="1" x14ac:dyDescent="0.2">
      <c r="A13" s="483" t="s">
        <v>184</v>
      </c>
      <c r="B13" s="263">
        <v>0.04</v>
      </c>
      <c r="C13" s="297">
        <v>-1.4999999999999999E-2</v>
      </c>
      <c r="D13" s="244"/>
      <c r="E13" s="442"/>
      <c r="F13" s="447">
        <v>0</v>
      </c>
      <c r="G13" s="245">
        <v>0</v>
      </c>
      <c r="H13" s="217">
        <f t="shared" si="56"/>
        <v>0.04</v>
      </c>
      <c r="I13" s="217">
        <f t="shared" si="57"/>
        <v>2.5000000000000001E-2</v>
      </c>
      <c r="J13" s="264">
        <f t="shared" si="58"/>
        <v>0.2113554959999997</v>
      </c>
      <c r="K13" s="217">
        <f t="shared" si="59"/>
        <v>1.0000000000000002E-2</v>
      </c>
      <c r="L13" s="217">
        <f t="shared" si="60"/>
        <v>0</v>
      </c>
      <c r="M13" s="217">
        <f t="shared" si="61"/>
        <v>0</v>
      </c>
      <c r="N13" s="217">
        <f t="shared" si="62"/>
        <v>0</v>
      </c>
      <c r="O13" s="264">
        <f t="shared" si="63"/>
        <v>3.0300999999999911E-2</v>
      </c>
      <c r="P13" s="217">
        <f t="shared" si="64"/>
        <v>0</v>
      </c>
      <c r="Q13" s="217">
        <f t="shared" si="65"/>
        <v>0</v>
      </c>
      <c r="R13" s="217">
        <f t="shared" si="66"/>
        <v>0</v>
      </c>
      <c r="S13" s="217">
        <f t="shared" si="67"/>
        <v>0</v>
      </c>
      <c r="T13" s="265">
        <f t="shared" si="68"/>
        <v>0</v>
      </c>
      <c r="U13" s="461">
        <f>SUM(IF((12*(IF(ISBLANK(E13),C13,E13)))+(IF(ISBLANK(D13),B13,D13)) &lt; 0, 0, (12*(IF(ISBLANK(E13),C13,E13)))+(IF(ISBLANK(D13),B13,D13))))*12</f>
        <v>0</v>
      </c>
      <c r="V13" s="264">
        <f>SUM(IF((15*(IF(ISBLANK(E13),C13,E13)))+(IF(ISBLANK(D13),B13,D13)) &lt; 0, 0, (15*(IF(ISBLANK(E13),C13,E13)))+(IF(ISBLANK(D13),B13,D13))))*12</f>
        <v>0</v>
      </c>
      <c r="W13" s="265">
        <f>SUM(IF((18*(IF(ISBLANK(E13),C13,E13)))+(IF(ISBLANK(D13),B13,D13)) &lt; 0, 0, (18*(IF(ISBLANK(E13),C13,E13)))+(IF(ISBLANK(D13),B13,D13))))*12</f>
        <v>0</v>
      </c>
      <c r="X13" s="220"/>
      <c r="Y13" s="500">
        <v>0</v>
      </c>
      <c r="Z13" s="217">
        <f t="shared" si="69"/>
        <v>0</v>
      </c>
      <c r="AA13" s="217">
        <f t="shared" si="70"/>
        <v>0</v>
      </c>
      <c r="AB13" s="217">
        <f t="shared" si="71"/>
        <v>0</v>
      </c>
      <c r="AC13" s="264">
        <f t="shared" si="9"/>
        <v>0</v>
      </c>
      <c r="AD13" s="218"/>
      <c r="AE13" s="217">
        <f t="shared" si="72"/>
        <v>0</v>
      </c>
      <c r="AF13" s="217">
        <f t="shared" si="73"/>
        <v>0</v>
      </c>
      <c r="AG13" s="217">
        <f t="shared" si="74"/>
        <v>0</v>
      </c>
      <c r="AH13" s="264">
        <f t="shared" si="10"/>
        <v>0</v>
      </c>
      <c r="AI13" s="218"/>
      <c r="AJ13" s="217">
        <f t="shared" si="75"/>
        <v>0.04</v>
      </c>
      <c r="AK13" s="217">
        <f t="shared" si="76"/>
        <v>0.04</v>
      </c>
      <c r="AL13" s="217">
        <f t="shared" si="77"/>
        <v>0.04</v>
      </c>
      <c r="AM13" s="264">
        <f t="shared" si="11"/>
        <v>0.12</v>
      </c>
      <c r="AN13" s="218"/>
      <c r="AO13" s="217">
        <f t="shared" si="78"/>
        <v>2.5000000000000001E-2</v>
      </c>
      <c r="AP13" s="217">
        <f t="shared" si="79"/>
        <v>2.5000000000000001E-2</v>
      </c>
      <c r="AQ13" s="217">
        <f t="shared" si="80"/>
        <v>2.5000000000000001E-2</v>
      </c>
      <c r="AR13" s="264">
        <f t="shared" si="15"/>
        <v>7.5000000000000011E-2</v>
      </c>
      <c r="AS13" s="218"/>
      <c r="AT13" s="217">
        <f t="shared" si="81"/>
        <v>1.0000000000000002E-2</v>
      </c>
      <c r="AU13" s="217">
        <f t="shared" si="82"/>
        <v>1.0000000000000002E-2</v>
      </c>
      <c r="AV13" s="217">
        <f t="shared" si="83"/>
        <v>1.0000000000000002E-2</v>
      </c>
      <c r="AW13" s="264">
        <f t="shared" si="19"/>
        <v>3.0000000000000006E-2</v>
      </c>
      <c r="AX13" s="218"/>
      <c r="AY13" s="217">
        <f t="shared" si="84"/>
        <v>0</v>
      </c>
      <c r="AZ13" s="217">
        <f t="shared" si="85"/>
        <v>0</v>
      </c>
      <c r="BA13" s="217">
        <f t="shared" si="86"/>
        <v>0</v>
      </c>
      <c r="BB13" s="264">
        <f t="shared" si="23"/>
        <v>0</v>
      </c>
      <c r="BC13" s="218"/>
      <c r="BD13" s="217">
        <f t="shared" si="87"/>
        <v>0</v>
      </c>
      <c r="BE13" s="217">
        <f t="shared" si="88"/>
        <v>0</v>
      </c>
      <c r="BF13" s="217">
        <f t="shared" si="89"/>
        <v>0</v>
      </c>
      <c r="BG13" s="264">
        <f t="shared" si="27"/>
        <v>0</v>
      </c>
      <c r="BH13" s="218"/>
      <c r="BI13" s="217">
        <f t="shared" si="90"/>
        <v>0</v>
      </c>
      <c r="BJ13" s="217">
        <f t="shared" si="91"/>
        <v>0</v>
      </c>
      <c r="BK13" s="217">
        <f t="shared" si="92"/>
        <v>0</v>
      </c>
      <c r="BL13" s="264">
        <f t="shared" si="51"/>
        <v>0</v>
      </c>
      <c r="BM13" s="218"/>
      <c r="BN13" s="217">
        <f t="shared" si="93"/>
        <v>0</v>
      </c>
      <c r="BO13" s="217">
        <f t="shared" si="94"/>
        <v>0</v>
      </c>
      <c r="BP13" s="217">
        <f t="shared" si="95"/>
        <v>0</v>
      </c>
      <c r="BQ13" s="264">
        <f t="shared" si="52"/>
        <v>0</v>
      </c>
      <c r="BR13" s="218"/>
      <c r="BS13" s="217">
        <f t="shared" si="96"/>
        <v>0</v>
      </c>
      <c r="BT13" s="217">
        <f t="shared" si="97"/>
        <v>0</v>
      </c>
      <c r="BU13" s="217">
        <f t="shared" si="98"/>
        <v>0</v>
      </c>
      <c r="BV13" s="264">
        <f t="shared" si="53"/>
        <v>0</v>
      </c>
      <c r="BW13" s="218"/>
      <c r="BX13" s="217">
        <f t="shared" si="99"/>
        <v>0</v>
      </c>
      <c r="BY13" s="217">
        <f t="shared" si="100"/>
        <v>0</v>
      </c>
      <c r="BZ13" s="217">
        <f t="shared" si="101"/>
        <v>0</v>
      </c>
      <c r="CA13" s="264">
        <f t="shared" si="54"/>
        <v>0</v>
      </c>
      <c r="CB13" s="218"/>
      <c r="CC13" s="217">
        <f t="shared" si="102"/>
        <v>0</v>
      </c>
      <c r="CD13" s="217">
        <f t="shared" si="103"/>
        <v>0</v>
      </c>
      <c r="CE13" s="217">
        <f t="shared" si="104"/>
        <v>0</v>
      </c>
      <c r="CF13" s="264">
        <f t="shared" si="55"/>
        <v>0</v>
      </c>
      <c r="CG13" s="219"/>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row>
    <row r="14" spans="1:175" s="10" customFormat="1" ht="9.75" customHeight="1" x14ac:dyDescent="0.15">
      <c r="A14" s="237" t="s">
        <v>185</v>
      </c>
      <c r="B14" s="298">
        <v>5000000</v>
      </c>
      <c r="C14" s="371">
        <v>3000000000</v>
      </c>
      <c r="D14" s="238"/>
      <c r="E14" s="239"/>
      <c r="F14" s="240">
        <f>SUM(IF(((1-(Y18/(IF(ISBLANK(D14),B14,(IF(D14=0,9.99999999999999E+29,D14))))))*SUM(F9:F13))&lt;0,0,((1-(Y18/(IF(ISBLANK(D14),B14,(IF(D14=0,9.99999999999999E+29,D14))))))*SUM(F9:F13))))</f>
        <v>9.9970000000000007E-3</v>
      </c>
      <c r="G14" s="241">
        <f>SUM(IF(((1-(F18/(IF(ISBLANK(D14),B14,(IF(D14=0,9.99999999999999E+29,D14))))))*SUM(G9:G13))&lt;0,0,((1-(F18/(IF(ISBLANK(D14),B14,(IF(D14=0,9.99999999999999E+29,D14))))))*SUM(G9:G13))))</f>
        <v>0.1199485148622277</v>
      </c>
      <c r="H14" s="241">
        <f>SUM(IF(((1-(G18/(IF(ISBLANK(D14),B14,(IF(D14=0,9.99999999999999E+29,D14))))))*SUM(H9:H13))&lt;0,0,((1-(G18/(IF(ISBLANK(D14),B14,(IF(D14=0,9.99999999999999E+29,D14))))))*SUM(H9:H13))))</f>
        <v>0.26972357323574297</v>
      </c>
      <c r="I14" s="241">
        <f>SUM(IF(((1-(H18/(IF(ISBLANK(D14),B14,(IF(D14=0,9.99999999999999E+29,D14))))))*SUM(I9:I13))&lt;0,0,((1-(H18/(IF(ISBLANK(D14),B14,(IF(D14=0,9.99999999999999E+29,D14))))))*SUM(I9:I13))))</f>
        <v>0.22652722592433161</v>
      </c>
      <c r="J14" s="267">
        <f t="shared" si="58"/>
        <v>4.4665528680007425</v>
      </c>
      <c r="K14" s="241">
        <f>SUM(IF(((1-(I18/(IF(ISBLANK(E14),C14,(IF(E14=0,9.99999999999999E+29,E14))))))*SUM(K9:K13))&lt;0,0,((1-(I18/(IF(ISBLANK(E14),C14,(IF(E14=0,9.99999999999999E+29,E14))))))*SUM(K9:K13))))</f>
        <v>0.18599569674027838</v>
      </c>
      <c r="L14" s="241">
        <f>SUM(IF(((1-(K18/(IF(ISBLANK(E14),C14,(IF(E14=0,9.99999999999999E+29,E14))))))*SUM(L9:L13))&lt;0,0,((1-(K18/(IF(ISBLANK(E14),C14,(IF(E14=0,9.99999999999999E+29,E14))))))*SUM(L9:L13))))</f>
        <v>0.14899411365410911</v>
      </c>
      <c r="M14" s="241">
        <f>SUM(IF(((1-(L18/(IF(ISBLANK(E14),C14,(IF(E14=0,9.99999999999999E+29,E14))))))*SUM(M9:M13))&lt;0,0,((1-(L18/(IF(ISBLANK(E14),C14,(IF(E14=0,9.99999999999999E+29,E14))))))*SUM(M9:M13))))</f>
        <v>0.13399166071272103</v>
      </c>
      <c r="N14" s="241">
        <f>SUM(IF(((1-(M18/(IF(ISBLANK(E14),C14,(IF(E14=0,9.99999999999999E+29,E14))))))*SUM(N9:N13))&lt;0,0,((1-(M18/(IF(ISBLANK(E14),C14,(IF(E14=0,9.99999999999999E+29,E14))))))*SUM(N9:N13))))</f>
        <v>0.12498778664736426</v>
      </c>
      <c r="O14" s="267">
        <f t="shared" si="63"/>
        <v>4.2538268567210054</v>
      </c>
      <c r="P14" s="241">
        <f>SUM(IF(((1-(N18/(IF(ISBLANK(E14),C14,(IF(E14=0,9.99999999999999E+29,E14))))))*SUM(P9:P13))&lt;0,0,((1-(N18/(IF(ISBLANK(E14),C14,(IF(E14=0,9.99999999999999E+29,E14))))))*SUM(P9:P13))))</f>
        <v>0.11598154213944774</v>
      </c>
      <c r="Q14" s="241">
        <f>SUM(IF(((1-(P18/(IF(ISBLANK(E14),C14,(IF(E14=0,9.99999999999999E+29,E14))))))*SUM(Q9:Q13))&lt;0,0,((1-(P18/(IF(ISBLANK(E14),C14,(IF(E14=0,9.99999999999999E+29,E14))))))*SUM(Q9:Q13))))</f>
        <v>0.10697148204724473</v>
      </c>
      <c r="R14" s="241">
        <f>SUM(IF(((1-(Q18/(IF(ISBLANK(E14),C14,(IF(E14=0,9.99999999999999E+29,E14))))))*SUM(R9:R13))&lt;0,0,((1-(Q18/(IF(ISBLANK(E14),C14,(IF(E14=0,9.99999999999999E+29,E14))))))*SUM(R9:R13))))</f>
        <v>9.7954943391938859E-2</v>
      </c>
      <c r="S14" s="241">
        <f>SUM(IF(((1-(R18/(IF(ISBLANK(E14),C14,(IF(E14=0,9.99999999999999E+29,E14))))))*SUM(S9:S13))&lt;0,0,((1-(R18/(IF(ISBLANK(E14),C14,(IF(E14=0,9.99999999999999E+29,E14))))))*SUM(S9:S13))))</f>
        <v>8.892625207760893E-2</v>
      </c>
      <c r="T14" s="268">
        <f t="shared" si="68"/>
        <v>2.2220278654866847</v>
      </c>
      <c r="U14" s="266">
        <f>SUM(IF(((1-(T18/(IF(ISBLANK(E14),C14,(IF(E14=0,9.99999999999999E+29,E14))))))*SUM(U9:U13))&lt;0,0,((1-(T18/(IF(ISBLANK(E14),C14,(IF(E14=0,9.99999999999999E+29,E14))))))*SUM(U9:U13))))</f>
        <v>0.74285274429458414</v>
      </c>
      <c r="V14" s="267">
        <f>SUM(IF(((1-(U18/(IF(ISBLANK(E14),C14,(IF(E14=0,9.99999999999999E+29,E14))))))*SUM(V9:V13))&lt;0,0,((1-(U18/(IF(ISBLANK(E14),C14,(IF(E14=0,9.99999999999999E+29,E14))))))*SUM(V9:V13))))</f>
        <v>0.59741303733650619</v>
      </c>
      <c r="W14" s="268">
        <f>SUM(IF(((1-(V18/(IF(ISBLANK(E14),C14,(IF(E14=0,9.99999999999999E+29,E14))))))*SUM(W9:W13))&lt;0,0,((1-(V18/(IF(ISBLANK(E14),C14,(IF(E14=0,9.99999999999999E+29,E14))))))*SUM(W9:W13))))</f>
        <v>0.45194656859086352</v>
      </c>
      <c r="X14" s="243"/>
      <c r="Y14" s="501">
        <v>0</v>
      </c>
      <c r="Z14" s="241">
        <f>F14</f>
        <v>9.9970000000000007E-3</v>
      </c>
      <c r="AA14" s="241">
        <f>F14</f>
        <v>9.9970000000000007E-3</v>
      </c>
      <c r="AB14" s="241">
        <f>F14</f>
        <v>9.9970000000000007E-3</v>
      </c>
      <c r="AC14" s="267">
        <f t="shared" si="9"/>
        <v>2.9991000000000004E-2</v>
      </c>
      <c r="AD14" s="242"/>
      <c r="AE14" s="241">
        <f>G14</f>
        <v>0.1199485148622277</v>
      </c>
      <c r="AF14" s="241">
        <f>G14</f>
        <v>0.1199485148622277</v>
      </c>
      <c r="AG14" s="241">
        <f>G14</f>
        <v>0.1199485148622277</v>
      </c>
      <c r="AH14" s="267">
        <f t="shared" si="10"/>
        <v>0.35984554458668311</v>
      </c>
      <c r="AI14" s="242"/>
      <c r="AJ14" s="241">
        <f>H14</f>
        <v>0.26972357323574297</v>
      </c>
      <c r="AK14" s="241">
        <f>H14</f>
        <v>0.26972357323574297</v>
      </c>
      <c r="AL14" s="241">
        <f>H14</f>
        <v>0.26972357323574297</v>
      </c>
      <c r="AM14" s="267">
        <f t="shared" si="11"/>
        <v>0.80917071970722887</v>
      </c>
      <c r="AN14" s="242"/>
      <c r="AO14" s="241">
        <f>I14</f>
        <v>0.22652722592433161</v>
      </c>
      <c r="AP14" s="241">
        <f>I14</f>
        <v>0.22652722592433161</v>
      </c>
      <c r="AQ14" s="241">
        <f>I14</f>
        <v>0.22652722592433161</v>
      </c>
      <c r="AR14" s="267">
        <f t="shared" si="15"/>
        <v>0.67958167777299483</v>
      </c>
      <c r="AS14" s="242"/>
      <c r="AT14" s="241">
        <f>K14</f>
        <v>0.18599569674027838</v>
      </c>
      <c r="AU14" s="241">
        <f>K14</f>
        <v>0.18599569674027838</v>
      </c>
      <c r="AV14" s="241">
        <f>K14</f>
        <v>0.18599569674027838</v>
      </c>
      <c r="AW14" s="267">
        <f t="shared" si="19"/>
        <v>0.55798709022083515</v>
      </c>
      <c r="AX14" s="242"/>
      <c r="AY14" s="241">
        <f>L14</f>
        <v>0.14899411365410911</v>
      </c>
      <c r="AZ14" s="241">
        <f>L14</f>
        <v>0.14899411365410911</v>
      </c>
      <c r="BA14" s="241">
        <f>L14</f>
        <v>0.14899411365410911</v>
      </c>
      <c r="BB14" s="267">
        <f t="shared" si="23"/>
        <v>0.44698234096232736</v>
      </c>
      <c r="BC14" s="242"/>
      <c r="BD14" s="241">
        <f>M14</f>
        <v>0.13399166071272103</v>
      </c>
      <c r="BE14" s="241">
        <f>M14</f>
        <v>0.13399166071272103</v>
      </c>
      <c r="BF14" s="241">
        <f>M14</f>
        <v>0.13399166071272103</v>
      </c>
      <c r="BG14" s="267">
        <f t="shared" si="27"/>
        <v>0.40197498213816307</v>
      </c>
      <c r="BH14" s="242"/>
      <c r="BI14" s="241">
        <f>N14</f>
        <v>0.12498778664736426</v>
      </c>
      <c r="BJ14" s="241">
        <f>N14</f>
        <v>0.12498778664736426</v>
      </c>
      <c r="BK14" s="241">
        <f>N14</f>
        <v>0.12498778664736426</v>
      </c>
      <c r="BL14" s="267">
        <f t="shared" si="51"/>
        <v>0.37496335994209279</v>
      </c>
      <c r="BM14" s="242"/>
      <c r="BN14" s="241">
        <f>P14</f>
        <v>0.11598154213944774</v>
      </c>
      <c r="BO14" s="241">
        <f>P14</f>
        <v>0.11598154213944774</v>
      </c>
      <c r="BP14" s="241">
        <f>P14</f>
        <v>0.11598154213944774</v>
      </c>
      <c r="BQ14" s="267">
        <f t="shared" si="52"/>
        <v>0.34794462641834323</v>
      </c>
      <c r="BR14" s="242"/>
      <c r="BS14" s="241">
        <f>Q14</f>
        <v>0.10697148204724473</v>
      </c>
      <c r="BT14" s="241">
        <f>Q14</f>
        <v>0.10697148204724473</v>
      </c>
      <c r="BU14" s="241">
        <f>Q14</f>
        <v>0.10697148204724473</v>
      </c>
      <c r="BV14" s="267">
        <f t="shared" si="53"/>
        <v>0.3209144461417342</v>
      </c>
      <c r="BW14" s="242"/>
      <c r="BX14" s="241">
        <f>R14</f>
        <v>9.7954943391938859E-2</v>
      </c>
      <c r="BY14" s="241">
        <f>R14</f>
        <v>9.7954943391938859E-2</v>
      </c>
      <c r="BZ14" s="241">
        <f>R14</f>
        <v>9.7954943391938859E-2</v>
      </c>
      <c r="CA14" s="267">
        <f t="shared" si="54"/>
        <v>0.29386483017581655</v>
      </c>
      <c r="CB14" s="242"/>
      <c r="CC14" s="241">
        <f>S14</f>
        <v>8.892625207760893E-2</v>
      </c>
      <c r="CD14" s="241">
        <f>S14</f>
        <v>8.892625207760893E-2</v>
      </c>
      <c r="CE14" s="241">
        <f>S14</f>
        <v>8.892625207760893E-2</v>
      </c>
      <c r="CF14" s="267">
        <f t="shared" si="55"/>
        <v>0.26677875623282676</v>
      </c>
      <c r="CG14" s="314"/>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row>
    <row r="15" spans="1:175" s="10" customFormat="1" ht="9.75" customHeight="1" x14ac:dyDescent="0.15">
      <c r="A15" s="53" t="s">
        <v>186</v>
      </c>
      <c r="B15" s="479">
        <v>0.15</v>
      </c>
      <c r="C15" s="269">
        <v>-1.2E-2</v>
      </c>
      <c r="D15" s="118"/>
      <c r="E15" s="117"/>
      <c r="F15" s="223">
        <v>0.8</v>
      </c>
      <c r="G15" s="224">
        <v>0.5</v>
      </c>
      <c r="H15" s="225">
        <f>SUM(IF(     IF(ISBLANK(D15),B15,D15)   &gt;   0,   (     IF(ISBLANK(D15),B15,D15)   ),0))</f>
        <v>0.15</v>
      </c>
      <c r="I15" s="225">
        <f>SUM(IF(     IF(ISBLANK(D15),B15,D15)     +   (1* (IF(ISBLANK(E15),C15,E15))) &gt;   0,   (     IF(ISBLANK(D15),B15,D15)    +  (1* (IF(ISBLANK(E15),C15,E15)) )  ),0))</f>
        <v>0.13799999999999998</v>
      </c>
      <c r="J15" s="439">
        <f t="shared" si="58"/>
        <v>43.117571652767531</v>
      </c>
      <c r="K15" s="225">
        <f>SUM(IF(     IF(ISBLANK(D15),B15,D15)    +   (2* (IF(ISBLANK(E15),C15,E15))) &gt;   0,   (     IF(ISBLANK(D15),B15,D15)    +  (2* (IF(ISBLANK(E15),C15,E15)) )  ),0))</f>
        <v>0.126</v>
      </c>
      <c r="L15" s="225">
        <f>SUM(IF(     IF(ISBLANK(D15),B15,D15)    +   (3* (IF(ISBLANK(E15),C15,E15))) &gt;   0,   (     IF(ISBLANK(D15),B15,D15)    +  (3* (IF(ISBLANK(E15),C15,E15)) )  ),0))</f>
        <v>0.11399999999999999</v>
      </c>
      <c r="M15" s="225">
        <f>SUM(IF(     IF(ISBLANK(D15),B15,D15)     +   (4* (IF(ISBLANK(E15),C15,E15))) &gt;   0,   (     IF(ISBLANK(D15),B15,D15)   +  (4* (IF(ISBLANK(E15),C15,E15)) )  ),0))</f>
        <v>0.10199999999999999</v>
      </c>
      <c r="N15" s="225">
        <f>SUM(IF(     IF(ISBLANK(D15),B15,D15)     +  (5* (IF(ISBLANK(E15),C15,E15))) &gt;   0,   (     IF(ISBLANK(D15),B15,D15)   +  (5* (IF(ISBLANK(E15),C15,E15)) )  ),0))</f>
        <v>0.09</v>
      </c>
      <c r="O15" s="439">
        <f t="shared" si="63"/>
        <v>2.420542740660216</v>
      </c>
      <c r="P15" s="225">
        <f>SUM(IF(     IF(ISBLANK(D15),B15,D15)     +   (6* (IF(ISBLANK(E15),C15,E15))) &gt;   0,   (     IF(ISBLANK(D15),B15,D15)    +  (6* (IF(ISBLANK(E15),C15,E15)) )  ),0))</f>
        <v>7.7999999999999986E-2</v>
      </c>
      <c r="Q15" s="225">
        <f>SUM(IF(     IF(ISBLANK(D15),B15,D15)     +   (7* (IF(ISBLANK(E15),C15,E15))) &gt;   0,   (     IF(ISBLANK(D15),B15,D15)    +  (7* (IF(ISBLANK(E15),C15,E15)) )  ),0))</f>
        <v>6.5999999999999989E-2</v>
      </c>
      <c r="R15" s="225">
        <f>SUM(IF(     IF(ISBLANK(D15),B15,D15)     +   (8* (IF(ISBLANK(E15),C15,E15))) &gt;   0,   (     IF(ISBLANK(D15),B15,D15)    +  (8* (IF(ISBLANK(E15),C15,E15)) )  ),0))</f>
        <v>5.3999999999999992E-2</v>
      </c>
      <c r="S15" s="225">
        <f>SUM(IF(     IF(ISBLANK(D15),B15,D15)     +   (9* (IF(ISBLANK(E15),C15,E15))) &gt;   0,   (     IF(ISBLANK(D15),B15,D15)   +  (9* (IF(ISBLANK(E15),C15,E15)) )  ),0))</f>
        <v>4.1999999999999996E-2</v>
      </c>
      <c r="T15" s="450">
        <f t="shared" si="68"/>
        <v>1.0102630316814332</v>
      </c>
      <c r="U15" s="270">
        <v>0.2</v>
      </c>
      <c r="V15" s="271">
        <v>0.2</v>
      </c>
      <c r="W15" s="272">
        <v>0.2</v>
      </c>
      <c r="X15" s="226"/>
      <c r="Y15" s="502">
        <v>0.7</v>
      </c>
      <c r="Z15" s="225">
        <f>F15</f>
        <v>0.8</v>
      </c>
      <c r="AA15" s="225">
        <f>F15</f>
        <v>0.8</v>
      </c>
      <c r="AB15" s="225">
        <f>F15</f>
        <v>0.8</v>
      </c>
      <c r="AC15" s="271">
        <f t="shared" si="9"/>
        <v>2.4000000000000004</v>
      </c>
      <c r="AD15" s="221"/>
      <c r="AE15" s="225">
        <f>G15</f>
        <v>0.5</v>
      </c>
      <c r="AF15" s="225">
        <f>G15</f>
        <v>0.5</v>
      </c>
      <c r="AG15" s="225">
        <f>G15</f>
        <v>0.5</v>
      </c>
      <c r="AH15" s="271">
        <f t="shared" si="10"/>
        <v>1.5</v>
      </c>
      <c r="AI15" s="221"/>
      <c r="AJ15" s="225">
        <f>H15</f>
        <v>0.15</v>
      </c>
      <c r="AK15" s="225">
        <f>H15</f>
        <v>0.15</v>
      </c>
      <c r="AL15" s="225">
        <f>H15</f>
        <v>0.15</v>
      </c>
      <c r="AM15" s="271">
        <f t="shared" si="11"/>
        <v>0.44999999999999996</v>
      </c>
      <c r="AN15" s="221"/>
      <c r="AO15" s="225">
        <f>I15</f>
        <v>0.13799999999999998</v>
      </c>
      <c r="AP15" s="225">
        <f>I15</f>
        <v>0.13799999999999998</v>
      </c>
      <c r="AQ15" s="225">
        <f>I15</f>
        <v>0.13799999999999998</v>
      </c>
      <c r="AR15" s="271">
        <f t="shared" si="15"/>
        <v>0.41399999999999992</v>
      </c>
      <c r="AS15" s="221"/>
      <c r="AT15" s="225">
        <f>K15</f>
        <v>0.126</v>
      </c>
      <c r="AU15" s="225">
        <f>K15</f>
        <v>0.126</v>
      </c>
      <c r="AV15" s="225">
        <f>K15</f>
        <v>0.126</v>
      </c>
      <c r="AW15" s="271">
        <f t="shared" si="19"/>
        <v>0.378</v>
      </c>
      <c r="AX15" s="221"/>
      <c r="AY15" s="225">
        <f>L15</f>
        <v>0.11399999999999999</v>
      </c>
      <c r="AZ15" s="225">
        <f>L15</f>
        <v>0.11399999999999999</v>
      </c>
      <c r="BA15" s="225">
        <f>L15</f>
        <v>0.11399999999999999</v>
      </c>
      <c r="BB15" s="271">
        <f t="shared" si="23"/>
        <v>0.34199999999999997</v>
      </c>
      <c r="BC15" s="221"/>
      <c r="BD15" s="225">
        <f>M15</f>
        <v>0.10199999999999999</v>
      </c>
      <c r="BE15" s="225">
        <f>M15</f>
        <v>0.10199999999999999</v>
      </c>
      <c r="BF15" s="225">
        <f>M15</f>
        <v>0.10199999999999999</v>
      </c>
      <c r="BG15" s="271">
        <f t="shared" si="27"/>
        <v>0.30599999999999999</v>
      </c>
      <c r="BH15" s="221"/>
      <c r="BI15" s="225">
        <f>N15</f>
        <v>0.09</v>
      </c>
      <c r="BJ15" s="225">
        <f>N15</f>
        <v>0.09</v>
      </c>
      <c r="BK15" s="225">
        <f>N15</f>
        <v>0.09</v>
      </c>
      <c r="BL15" s="271">
        <f t="shared" si="51"/>
        <v>0.27</v>
      </c>
      <c r="BM15" s="221"/>
      <c r="BN15" s="225">
        <f>P15</f>
        <v>7.7999999999999986E-2</v>
      </c>
      <c r="BO15" s="225">
        <f>P15</f>
        <v>7.7999999999999986E-2</v>
      </c>
      <c r="BP15" s="225">
        <f>P15</f>
        <v>7.7999999999999986E-2</v>
      </c>
      <c r="BQ15" s="271">
        <f t="shared" si="52"/>
        <v>0.23399999999999996</v>
      </c>
      <c r="BR15" s="221"/>
      <c r="BS15" s="225">
        <f>Q15</f>
        <v>6.5999999999999989E-2</v>
      </c>
      <c r="BT15" s="225">
        <f>Q15</f>
        <v>6.5999999999999989E-2</v>
      </c>
      <c r="BU15" s="225">
        <f>Q15</f>
        <v>6.5999999999999989E-2</v>
      </c>
      <c r="BV15" s="271">
        <f t="shared" si="53"/>
        <v>0.19799999999999995</v>
      </c>
      <c r="BW15" s="221"/>
      <c r="BX15" s="225">
        <f>R15</f>
        <v>5.3999999999999992E-2</v>
      </c>
      <c r="BY15" s="225">
        <f>R15</f>
        <v>5.3999999999999992E-2</v>
      </c>
      <c r="BZ15" s="225">
        <f>R15</f>
        <v>5.3999999999999992E-2</v>
      </c>
      <c r="CA15" s="271">
        <f t="shared" si="54"/>
        <v>0.16199999999999998</v>
      </c>
      <c r="CB15" s="221"/>
      <c r="CC15" s="225">
        <f>S15</f>
        <v>4.1999999999999996E-2</v>
      </c>
      <c r="CD15" s="225">
        <f>S15</f>
        <v>4.1999999999999996E-2</v>
      </c>
      <c r="CE15" s="225">
        <f>S15</f>
        <v>4.1999999999999996E-2</v>
      </c>
      <c r="CF15" s="271">
        <f t="shared" si="55"/>
        <v>0.126</v>
      </c>
      <c r="CG15" s="222"/>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row>
    <row r="16" spans="1:175" s="11" customFormat="1" ht="9.75" customHeight="1" x14ac:dyDescent="0.15">
      <c r="A16" s="193" t="s">
        <v>187</v>
      </c>
      <c r="B16" s="317"/>
      <c r="C16" s="318"/>
      <c r="D16" s="300"/>
      <c r="E16" s="301"/>
      <c r="F16" s="451">
        <f>SUM((F18/Y18)-1)/3</f>
        <v>0.14338090529920011</v>
      </c>
      <c r="G16" s="451">
        <f>SUM((G18/F18)-1)/3</f>
        <v>0.4620828779306933</v>
      </c>
      <c r="H16" s="451">
        <f>SUM((H18/G18)-1)/3</f>
        <v>1.7697849711710762</v>
      </c>
      <c r="I16" s="451">
        <f>SUM((I18/H18)-1)/3</f>
        <v>0.38299697378820613</v>
      </c>
      <c r="J16" s="457" t="s">
        <v>50</v>
      </c>
      <c r="K16" s="452">
        <f>SUM((K18/I18)-1)/3</f>
        <v>0.2358519215415309</v>
      </c>
      <c r="L16" s="452">
        <f>SUM((L18/K18)-1)/3</f>
        <v>0.19176830347074367</v>
      </c>
      <c r="M16" s="452">
        <f>SUM((M18/L18)-1)/3</f>
        <v>0.19000131896042269</v>
      </c>
      <c r="N16" s="452">
        <f>SUM((N18/M18)-1)/3</f>
        <v>0.20951340534582052</v>
      </c>
      <c r="O16" s="453">
        <f>SUM(O18/J18)-1</f>
        <v>5.8776291911879257</v>
      </c>
      <c r="P16" s="452">
        <f>SUM((P18/N18)-1)/3</f>
        <v>0.22499535223740783</v>
      </c>
      <c r="Q16" s="452">
        <f>SUM((Q18/P18)-1)/3</f>
        <v>0.24167825374219509</v>
      </c>
      <c r="R16" s="452">
        <f>SUM((R18/Q18)-1)/3</f>
        <v>0.26743372362546242</v>
      </c>
      <c r="S16" s="452">
        <f>SUM((S18/R18)-1)/3</f>
        <v>0.28697305316287736</v>
      </c>
      <c r="T16" s="454">
        <f>SUM(T18/O18)-1</f>
        <v>8.6908956959286225</v>
      </c>
      <c r="U16" s="455">
        <f>SUM(U18/T18)-1</f>
        <v>1.7960930484715276</v>
      </c>
      <c r="V16" s="453">
        <f>SUM(V18/U18)-1</f>
        <v>1.0616696389577345</v>
      </c>
      <c r="W16" s="456">
        <f>SUM(W18/V18)-1</f>
        <v>0.73120405051782389</v>
      </c>
      <c r="X16" s="462"/>
      <c r="Y16" s="503">
        <v>0</v>
      </c>
      <c r="Z16" s="452">
        <f>SUM((Z18/Y18)-1)</f>
        <v>0.34299033333333329</v>
      </c>
      <c r="AA16" s="452">
        <f t="shared" ref="AA16:AB16" si="105">SUM((AA18/Z18)-1)</f>
        <v>5.3631764310788199E-2</v>
      </c>
      <c r="AB16" s="452">
        <f t="shared" si="105"/>
        <v>1.0689227481044838E-2</v>
      </c>
      <c r="AC16" s="453">
        <f t="shared" si="9"/>
        <v>0.40731132512516632</v>
      </c>
      <c r="AD16" s="458"/>
      <c r="AE16" s="452">
        <f>SUM((AE18/AB18)-1)</f>
        <v>0.69164258472438633</v>
      </c>
      <c r="AF16" s="452">
        <f>SUM((AF18/AE18)-1)</f>
        <v>0.2534712693374388</v>
      </c>
      <c r="AG16" s="452">
        <f>SUM((AG18/AF18)-1)</f>
        <v>0.12536317411491193</v>
      </c>
      <c r="AH16" s="453">
        <f t="shared" si="10"/>
        <v>1.0704770281767371</v>
      </c>
      <c r="AI16" s="458"/>
      <c r="AJ16" s="452">
        <f>SUM((AJ18/AG18)-1)</f>
        <v>1.57383960400497</v>
      </c>
      <c r="AK16" s="452">
        <f>SUM((AK18/AJ18)-1)</f>
        <v>0.68468342096929269</v>
      </c>
      <c r="AL16" s="452">
        <f>SUM((AL18/AK18)-1)</f>
        <v>0.45507432264152525</v>
      </c>
      <c r="AM16" s="453">
        <f t="shared" si="11"/>
        <v>2.7135973476157882</v>
      </c>
      <c r="AN16" s="458"/>
      <c r="AO16" s="452">
        <f>SUM((AO18/AL18)-1)</f>
        <v>0.3510063972845312</v>
      </c>
      <c r="AP16" s="452">
        <f>SUM((AP18/AO18)-1)</f>
        <v>0.28281140687844997</v>
      </c>
      <c r="AQ16" s="452">
        <f>SUM((AQ18/AP18)-1)</f>
        <v>0.23997909165639819</v>
      </c>
      <c r="AR16" s="453">
        <f t="shared" si="15"/>
        <v>0.87379689581937936</v>
      </c>
      <c r="AS16" s="458"/>
      <c r="AT16" s="452">
        <f>SUM((AT18/AQ18)-1)</f>
        <v>0.22225114606176022</v>
      </c>
      <c r="AU16" s="452">
        <f>SUM((AU18/AT18)-1)</f>
        <v>0.19274701372148018</v>
      </c>
      <c r="AV16" s="452">
        <f>SUM((AV18/AU18)-1)</f>
        <v>0.17129450147759284</v>
      </c>
      <c r="AW16" s="453">
        <f t="shared" si="19"/>
        <v>0.58629266126083324</v>
      </c>
      <c r="AX16" s="458"/>
      <c r="AY16" s="452">
        <f>SUM((AY18/AV18)-1)</f>
        <v>0.18521139240591133</v>
      </c>
      <c r="AZ16" s="452">
        <f>SUM((AZ18/AY18)-1)</f>
        <v>0.16173714001573525</v>
      </c>
      <c r="BA16" s="452">
        <f>SUM((BA18/AZ18)-1)</f>
        <v>0.14409196547961733</v>
      </c>
      <c r="BB16" s="453">
        <f t="shared" si="23"/>
        <v>0.49104049790126392</v>
      </c>
      <c r="BC16" s="458"/>
      <c r="BD16" s="452">
        <f>SUM((BD18/BA18)-1)</f>
        <v>0.18405044960825645</v>
      </c>
      <c r="BE16" s="452">
        <f>SUM((BE18/BD18)-1)</f>
        <v>0.1604142198577676</v>
      </c>
      <c r="BF16" s="452">
        <f>SUM((BF18/BE18)-1)</f>
        <v>0.14266124485551734</v>
      </c>
      <c r="BG16" s="453">
        <f t="shared" si="27"/>
        <v>0.4871259143215414</v>
      </c>
      <c r="BH16" s="458"/>
      <c r="BI16" s="452">
        <f>SUM((BI18/BF18)-1)</f>
        <v>0.20235102195022781</v>
      </c>
      <c r="BJ16" s="452">
        <f>SUM((BJ18/BI18)-1)</f>
        <v>0.17418443741528922</v>
      </c>
      <c r="BK16" s="452">
        <f>SUM((BK18/BJ18)-1)</f>
        <v>0.15353530467982601</v>
      </c>
      <c r="BL16" s="453">
        <f>SUM(BI16:BK16)</f>
        <v>0.53007076404534303</v>
      </c>
      <c r="BM16" s="458"/>
      <c r="BN16" s="452">
        <f>SUM((BN18/BK18)-1)</f>
        <v>0.21666200962777538</v>
      </c>
      <c r="BO16" s="452">
        <f>SUM((BO18/BN18)-1)</f>
        <v>0.18484276249019493</v>
      </c>
      <c r="BP16" s="452">
        <f>SUM((BP18/BO18)-1)</f>
        <v>0.16193150832912795</v>
      </c>
      <c r="BQ16" s="453">
        <f>SUM(BN16:BP16)</f>
        <v>0.56343628044709826</v>
      </c>
      <c r="BR16" s="458"/>
      <c r="BS16" s="452">
        <f>SUM((BS18/BP18)-1)</f>
        <v>0.23204133660098214</v>
      </c>
      <c r="BT16" s="452">
        <f>SUM((BT18/BS18)-1)</f>
        <v>0.19605544625973659</v>
      </c>
      <c r="BU16" s="452">
        <f>SUM((BU18/BT18)-1)</f>
        <v>0.17063433730823219</v>
      </c>
      <c r="BV16" s="453">
        <f>SUM(BS16:BU16)</f>
        <v>0.59873112016895091</v>
      </c>
      <c r="BW16" s="458"/>
      <c r="BX16" s="452">
        <f>SUM((BX18/BU18)-1)</f>
        <v>0.25601569114688116</v>
      </c>
      <c r="BY16" s="452">
        <f>SUM((BY18/BX18)-1)</f>
        <v>0.21279100909531201</v>
      </c>
      <c r="BZ16" s="452">
        <f>SUM((BZ18/BY18)-1)</f>
        <v>0.18316777102439086</v>
      </c>
      <c r="CA16" s="453">
        <f t="shared" si="54"/>
        <v>0.65197447126658403</v>
      </c>
      <c r="CB16" s="458"/>
      <c r="CC16" s="452">
        <f>SUM((CC18/BZ18)-1)</f>
        <v>0.27391804348423432</v>
      </c>
      <c r="CD16" s="452">
        <f>SUM((CD18/CC18)-1)</f>
        <v>0.22511023539398534</v>
      </c>
      <c r="CE16" s="452">
        <f>SUM((CE18/CD18)-1)</f>
        <v>0.19236947683286854</v>
      </c>
      <c r="CF16" s="453">
        <f t="shared" si="55"/>
        <v>0.69139775571108819</v>
      </c>
      <c r="CG16" s="113"/>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row>
    <row r="17" spans="1:175" s="11" customFormat="1" ht="9.75" customHeight="1" x14ac:dyDescent="0.15">
      <c r="A17" s="54" t="s">
        <v>188</v>
      </c>
      <c r="B17" s="319"/>
      <c r="C17" s="320"/>
      <c r="D17" s="204"/>
      <c r="E17" s="205"/>
      <c r="F17" s="99">
        <f>AC17</f>
        <v>645.21407384639997</v>
      </c>
      <c r="G17" s="36">
        <f>AH17</f>
        <v>2973.800079061115</v>
      </c>
      <c r="H17" s="36">
        <f>AM17</f>
        <v>27178.662945083277</v>
      </c>
      <c r="I17" s="36">
        <f>AR17</f>
        <v>37109.737766757367</v>
      </c>
      <c r="J17" s="191">
        <f>SUM(J18-Y18)</f>
        <v>67907.414864748163</v>
      </c>
      <c r="K17" s="36">
        <f>AW17</f>
        <v>49109.616495243201</v>
      </c>
      <c r="L17" s="36">
        <f>BB17</f>
        <v>68183.430108883418</v>
      </c>
      <c r="M17" s="36">
        <f>BG17</f>
        <v>106420.00178881733</v>
      </c>
      <c r="N17" s="36">
        <f>BL17</f>
        <v>184237.9993009906</v>
      </c>
      <c r="O17" s="191">
        <f>SUM(O18-J18)</f>
        <v>407951.04769393452</v>
      </c>
      <c r="P17" s="36">
        <f>BQ17</f>
        <v>322210.30628069479</v>
      </c>
      <c r="Q17" s="36">
        <f>BV17</f>
        <v>579715.15139969287</v>
      </c>
      <c r="R17" s="36">
        <f>CA17</f>
        <v>1106601.1041787795</v>
      </c>
      <c r="S17" s="36">
        <f>CF17</f>
        <v>2140146.045807193</v>
      </c>
      <c r="T17" s="192">
        <f>SUM(T18-O18)</f>
        <v>4148672.6076663607</v>
      </c>
      <c r="U17" s="197">
        <f>SUM((U8+(T18*U14))-(T18*U15))</f>
        <v>8308782.2472445015</v>
      </c>
      <c r="V17" s="191">
        <f>SUM((V8+(U18*V14))-(U18*V15))</f>
        <v>13732498.584743585</v>
      </c>
      <c r="W17" s="198">
        <f>SUM((W8+(V18*W14))-(V18*W15))</f>
        <v>19499246.479320414</v>
      </c>
      <c r="X17" s="175"/>
      <c r="Y17" s="507">
        <v>1500</v>
      </c>
      <c r="Z17" s="36">
        <f>SUM((Z8+(Y18*Z14))-(Y18*Z15))</f>
        <v>514.4855</v>
      </c>
      <c r="AA17" s="36">
        <f>SUM((AA8+(Z18*AA14))-(Z18*AA15))</f>
        <v>108.04041154349989</v>
      </c>
      <c r="AB17" s="36">
        <f>SUM((AB8+(AA18*AB14))-(AA18*AB15))</f>
        <v>22.688162302900082</v>
      </c>
      <c r="AC17" s="191">
        <f t="shared" si="9"/>
        <v>645.21407384639997</v>
      </c>
      <c r="AD17" s="191"/>
      <c r="AE17" s="36">
        <f>SUM((AE8+(AB18*AE14))-(AB18*AE15))</f>
        <v>1483.7214068222552</v>
      </c>
      <c r="AF17" s="36">
        <f>SUM((AF8+(AE18*AF14))-(AE18*AF15))</f>
        <v>919.83088262875231</v>
      </c>
      <c r="AG17" s="36">
        <f>SUM((AG8+(AF18*AG14))-(AF18*AG15))</f>
        <v>570.24778961010725</v>
      </c>
      <c r="AH17" s="191">
        <f t="shared" si="10"/>
        <v>2973.800079061115</v>
      </c>
      <c r="AI17" s="191"/>
      <c r="AJ17" s="36">
        <f>SUM((AJ8+(AG18*AJ14))-(AG18*AJ15))</f>
        <v>8056.5072073078018</v>
      </c>
      <c r="AK17" s="36">
        <f>SUM((AK8+(AJ18*AK14))-(AJ18*AK15))</f>
        <v>9021.0610379662085</v>
      </c>
      <c r="AL17" s="36">
        <f>SUM((AL8+(AK18*AL14))-(AK18*AL15))</f>
        <v>10101.094699809264</v>
      </c>
      <c r="AM17" s="191">
        <f t="shared" si="11"/>
        <v>27178.662945083277</v>
      </c>
      <c r="AN17" s="191"/>
      <c r="AO17" s="36">
        <f>SUM((AO8+(AL18*AO14))-(AL18*AO15))</f>
        <v>11336.691278824856</v>
      </c>
      <c r="AP17" s="36">
        <f>SUM((AP8+(AO18*AP14))-(AO18*AP15))</f>
        <v>12340.297108899782</v>
      </c>
      <c r="AQ17" s="36">
        <f>SUM((AQ8+(AP18*AQ14))-(AP18*AQ15))</f>
        <v>13432.749379032728</v>
      </c>
      <c r="AR17" s="191">
        <f t="shared" si="15"/>
        <v>37109.737766757367</v>
      </c>
      <c r="AS17" s="191"/>
      <c r="AT17" s="36">
        <f>SUM((AT8+(AQ18*AT14))-(AQ18*AT15))</f>
        <v>15425.877498874343</v>
      </c>
      <c r="AU17" s="36">
        <f>SUM((AU8+(AT18*AU14))-(AT18*AU15))</f>
        <v>16351.363767249493</v>
      </c>
      <c r="AV17" s="36">
        <f>SUM((AV8+(AU18*AV14))-(AU18*AV15))</f>
        <v>17332.375229119367</v>
      </c>
      <c r="AW17" s="191">
        <f t="shared" si="19"/>
        <v>49109.616495243201</v>
      </c>
      <c r="AX17" s="191"/>
      <c r="AY17" s="36">
        <f>SUM((AY8+(AV18*AY14))-(AV18*AY15))</f>
        <v>21950.704401999061</v>
      </c>
      <c r="AZ17" s="36">
        <f>SUM((AZ8+(AY18*AZ14))-(AY18*AZ15))</f>
        <v>22718.849846630368</v>
      </c>
      <c r="BA17" s="36">
        <f>SUM((BA8+(AZ18*BA14))-(AZ18*BA15))</f>
        <v>23513.875860253989</v>
      </c>
      <c r="BB17" s="191">
        <f t="shared" si="23"/>
        <v>68183.430108883418</v>
      </c>
      <c r="BC17" s="191"/>
      <c r="BD17" s="36">
        <f>SUM((BD8+(BA18*BD14))-(BA18*BD15))</f>
        <v>34362.303875415339</v>
      </c>
      <c r="BE17" s="36">
        <f>SUM((BE8+(BD18*BE14))-(BD18*BE15))</f>
        <v>35461.611042305041</v>
      </c>
      <c r="BF17" s="36">
        <f>SUM((BF8+(BE18*BF14))-(BE18*BF15))</f>
        <v>36596.086871096952</v>
      </c>
      <c r="BG17" s="191">
        <f t="shared" si="27"/>
        <v>106420.00178881733</v>
      </c>
      <c r="BH17" s="191"/>
      <c r="BI17" s="36">
        <f>SUM((BI8+(BF18*BI14))-(BF18*BI15))</f>
        <v>59313.225294718228</v>
      </c>
      <c r="BJ17" s="36">
        <f>SUM((BJ8+(BI18*BJ14))-(BI18*BJ15))</f>
        <v>61388.463766696863</v>
      </c>
      <c r="BK17" s="36">
        <f>SUM((BK8+(BJ18*BK14))-(BJ18*BK15))</f>
        <v>63536.310239575512</v>
      </c>
      <c r="BL17" s="191">
        <f>SUM(BI17:BK17)</f>
        <v>184237.9993009906</v>
      </c>
      <c r="BM17" s="191"/>
      <c r="BN17" s="36">
        <f>SUM((BN8+(BK18*BN14))-(BK18*BN15))</f>
        <v>103425.44381078928</v>
      </c>
      <c r="BO17" s="36">
        <f>SUM((BO8+(BN18*BO14))-(BN18*BO15))</f>
        <v>107353.70166317988</v>
      </c>
      <c r="BP17" s="36">
        <f>SUM((BP8+(BO18*BP14))-(BO18*BP15))</f>
        <v>111431.16080672562</v>
      </c>
      <c r="BQ17" s="191">
        <f>SUM(BN17:BP17)</f>
        <v>322210.30628069479</v>
      </c>
      <c r="BR17" s="191"/>
      <c r="BS17" s="36">
        <f>SUM((BS8+(BP18*BS14))-(BP18*BS15))</f>
        <v>185533.00582589081</v>
      </c>
      <c r="BT17" s="36">
        <f>SUM((BT8+(BS18*BT14))-(BS18*BT15))</f>
        <v>193134.56804325766</v>
      </c>
      <c r="BU17" s="36">
        <f>SUM((BU8+(BT18*BU14))-(BT18*BU15))</f>
        <v>201047.57753054437</v>
      </c>
      <c r="BV17" s="191">
        <f>SUM(BS17:BU17)</f>
        <v>579715.15139969287</v>
      </c>
      <c r="BW17" s="191"/>
      <c r="BX17" s="36">
        <f>SUM((BX8+(BU18*BX14))-(BU18*BX15))</f>
        <v>353118.32612778537</v>
      </c>
      <c r="BY17" s="36">
        <f>SUM((BY8+(BX18*BY14))-(BX18*BY15))</f>
        <v>368639.62216338835</v>
      </c>
      <c r="BZ17" s="36">
        <f>SUM((BZ8+(BY18*BZ14))-(BY18*BZ15))</f>
        <v>384843.15588760586</v>
      </c>
      <c r="CA17" s="191">
        <f>SUM(BX17:BZ17)</f>
        <v>1106601.1041787795</v>
      </c>
      <c r="CB17" s="191"/>
      <c r="CC17" s="36">
        <f>SUM((CC8+(BZ18*CC14))-(BZ18*CC15))</f>
        <v>680928.76221529604</v>
      </c>
      <c r="CD17" s="36">
        <f>SUM((CD8+(CC18*CD14))-(CC18*CD15))</f>
        <v>712882.19695790531</v>
      </c>
      <c r="CE17" s="36">
        <f>SUM((CE8+(CD18*CE14))-(CD18*CE15))</f>
        <v>746335.08663399168</v>
      </c>
      <c r="CF17" s="191">
        <f>SUM(CC17:CE17)</f>
        <v>2140146.045807193</v>
      </c>
      <c r="CG17" s="198"/>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row>
    <row r="18" spans="1:175" s="9" customFormat="1" ht="9.75" customHeight="1" x14ac:dyDescent="0.15">
      <c r="A18" s="52" t="s">
        <v>189</v>
      </c>
      <c r="B18" s="321"/>
      <c r="C18" s="322"/>
      <c r="D18" s="202"/>
      <c r="E18" s="203"/>
      <c r="F18" s="99">
        <f>AC18</f>
        <v>2145.2140738464004</v>
      </c>
      <c r="G18" s="36">
        <f>AH18</f>
        <v>5119.0141529075154</v>
      </c>
      <c r="H18" s="36">
        <f>AM18</f>
        <v>32297.677097990789</v>
      </c>
      <c r="I18" s="36">
        <f>AR18</f>
        <v>69407.414864748163</v>
      </c>
      <c r="J18" s="191">
        <f>AQ18</f>
        <v>69407.414864748163</v>
      </c>
      <c r="K18" s="36">
        <f>AW18</f>
        <v>118517.03135999136</v>
      </c>
      <c r="L18" s="36">
        <f>BB18</f>
        <v>186700.46146887477</v>
      </c>
      <c r="M18" s="36">
        <f>BG18</f>
        <v>293120.46325769211</v>
      </c>
      <c r="N18" s="36">
        <f>BL18</f>
        <v>477358.46255868272</v>
      </c>
      <c r="O18" s="191">
        <f>BK18</f>
        <v>477358.46255868272</v>
      </c>
      <c r="P18" s="36">
        <f>BQ18</f>
        <v>799568.76883937756</v>
      </c>
      <c r="Q18" s="36">
        <f>BV18</f>
        <v>1379283.9202390704</v>
      </c>
      <c r="R18" s="36">
        <f>CA18</f>
        <v>2485885.0244178502</v>
      </c>
      <c r="S18" s="36">
        <f>CF18</f>
        <v>4626031.0702250432</v>
      </c>
      <c r="T18" s="192">
        <f>CE18</f>
        <v>4626031.0702250432</v>
      </c>
      <c r="U18" s="197">
        <f>SUM(T18+U17)</f>
        <v>12934813.317469545</v>
      </c>
      <c r="V18" s="191">
        <f>SUM(U18+V17)</f>
        <v>26667311.90221313</v>
      </c>
      <c r="W18" s="198">
        <f>SUM(V18+W17)</f>
        <v>46166558.381533548</v>
      </c>
      <c r="X18" s="175"/>
      <c r="Y18" s="508">
        <v>1500</v>
      </c>
      <c r="Z18" s="36">
        <f>SUM(Y18+Z17)</f>
        <v>2014.4855</v>
      </c>
      <c r="AA18" s="36">
        <f>SUM(Z18+AA17)</f>
        <v>2122.5259115435001</v>
      </c>
      <c r="AB18" s="36">
        <f>SUM(AA18+AB17)</f>
        <v>2145.2140738464004</v>
      </c>
      <c r="AC18" s="191">
        <f>AB18</f>
        <v>2145.2140738464004</v>
      </c>
      <c r="AD18" s="191"/>
      <c r="AE18" s="36">
        <f>SUM(AB18+AE17)</f>
        <v>3628.9354806686556</v>
      </c>
      <c r="AF18" s="36">
        <f>SUM(AE18+AF17)</f>
        <v>4548.7663632974081</v>
      </c>
      <c r="AG18" s="36">
        <f>SUM(AF18+AG17)</f>
        <v>5119.0141529075154</v>
      </c>
      <c r="AH18" s="191">
        <f>AG18</f>
        <v>5119.0141529075154</v>
      </c>
      <c r="AI18" s="191"/>
      <c r="AJ18" s="36">
        <f>SUM(AG18+AJ17)</f>
        <v>13175.521360215316</v>
      </c>
      <c r="AK18" s="36">
        <f>SUM(AJ18+AK17)</f>
        <v>22196.582398181527</v>
      </c>
      <c r="AL18" s="36">
        <f>SUM(AK18+AL17)</f>
        <v>32297.677097990789</v>
      </c>
      <c r="AM18" s="191">
        <f>AL18</f>
        <v>32297.677097990789</v>
      </c>
      <c r="AN18" s="191"/>
      <c r="AO18" s="36">
        <f>SUM(AL18+AO17)</f>
        <v>43634.368376815648</v>
      </c>
      <c r="AP18" s="36">
        <f>SUM(AO18+AP17)</f>
        <v>55974.665485715428</v>
      </c>
      <c r="AQ18" s="36">
        <f>SUM(AP18+AQ17)</f>
        <v>69407.414864748163</v>
      </c>
      <c r="AR18" s="191">
        <f>AQ18</f>
        <v>69407.414864748163</v>
      </c>
      <c r="AS18" s="191"/>
      <c r="AT18" s="36">
        <f>SUM(AQ18+AT17)</f>
        <v>84833.292363622502</v>
      </c>
      <c r="AU18" s="36">
        <f>SUM(AT18+AU17)</f>
        <v>101184.656130872</v>
      </c>
      <c r="AV18" s="36">
        <f>SUM(AU18+AV17)</f>
        <v>118517.03135999136</v>
      </c>
      <c r="AW18" s="191">
        <f>AV18</f>
        <v>118517.03135999136</v>
      </c>
      <c r="AX18" s="191"/>
      <c r="AY18" s="36">
        <f>SUM(AV18+AY17)</f>
        <v>140467.73576199042</v>
      </c>
      <c r="AZ18" s="36">
        <f>SUM(AY18+AZ17)</f>
        <v>163186.58560862078</v>
      </c>
      <c r="BA18" s="36">
        <f>SUM(AZ18+BA17)</f>
        <v>186700.46146887477</v>
      </c>
      <c r="BB18" s="191">
        <f>BA18</f>
        <v>186700.46146887477</v>
      </c>
      <c r="BC18" s="191"/>
      <c r="BD18" s="36">
        <f>SUM(BA18+BD17)</f>
        <v>221062.76534429012</v>
      </c>
      <c r="BE18" s="36">
        <f>SUM(BD18+BE17)</f>
        <v>256524.37638659516</v>
      </c>
      <c r="BF18" s="36">
        <f>SUM(BE18+BF17)</f>
        <v>293120.46325769211</v>
      </c>
      <c r="BG18" s="191">
        <f>BF18</f>
        <v>293120.46325769211</v>
      </c>
      <c r="BH18" s="191"/>
      <c r="BI18" s="36">
        <f>SUM(BF18+BI17)</f>
        <v>352433.68855241034</v>
      </c>
      <c r="BJ18" s="36">
        <f>SUM(BI18+BJ17)</f>
        <v>413822.1523191072</v>
      </c>
      <c r="BK18" s="36">
        <f>SUM(BJ18+BK17)</f>
        <v>477358.46255868272</v>
      </c>
      <c r="BL18" s="191">
        <f>BK18</f>
        <v>477358.46255868272</v>
      </c>
      <c r="BM18" s="191"/>
      <c r="BN18" s="36">
        <f>SUM(BL18+BN17)</f>
        <v>580783.90636947204</v>
      </c>
      <c r="BO18" s="36">
        <f>SUM(BN18+BO17)</f>
        <v>688137.60803265194</v>
      </c>
      <c r="BP18" s="36">
        <f>SUM(BO18+BP17)</f>
        <v>799568.76883937756</v>
      </c>
      <c r="BQ18" s="191">
        <f>BP18</f>
        <v>799568.76883937756</v>
      </c>
      <c r="BR18" s="191"/>
      <c r="BS18" s="36">
        <f>SUM(BP18+BS17)</f>
        <v>985101.77466526837</v>
      </c>
      <c r="BT18" s="36">
        <f>SUM(BS18+BT17)</f>
        <v>1178236.3427085259</v>
      </c>
      <c r="BU18" s="36">
        <f>SUM(BT18+BU17)</f>
        <v>1379283.9202390704</v>
      </c>
      <c r="BV18" s="191">
        <f>BU18</f>
        <v>1379283.9202390704</v>
      </c>
      <c r="BW18" s="191"/>
      <c r="BX18" s="36">
        <f>SUM(BU18+BX17)</f>
        <v>1732402.2463668557</v>
      </c>
      <c r="BY18" s="36">
        <f>SUM(BX18+BY17)</f>
        <v>2101041.8685302441</v>
      </c>
      <c r="BZ18" s="36">
        <f>SUM(BY18+BZ17)</f>
        <v>2485885.0244178502</v>
      </c>
      <c r="CA18" s="191">
        <f>BZ18</f>
        <v>2485885.0244178502</v>
      </c>
      <c r="CB18" s="191"/>
      <c r="CC18" s="36">
        <f>SUM(BZ18+CC17)</f>
        <v>3166813.786633146</v>
      </c>
      <c r="CD18" s="36">
        <f>SUM(CC18+CD17)</f>
        <v>3879695.9835910513</v>
      </c>
      <c r="CE18" s="36">
        <f>SUM(CD18+CE17)</f>
        <v>4626031.0702250432</v>
      </c>
      <c r="CF18" s="191">
        <f>CE18</f>
        <v>4626031.0702250432</v>
      </c>
      <c r="CG18" s="198"/>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5"/>
      <c r="B19" s="160"/>
      <c r="C19" s="323"/>
      <c r="D19" s="40"/>
      <c r="E19" s="42"/>
      <c r="F19" s="64"/>
      <c r="G19" s="31"/>
      <c r="H19" s="31"/>
      <c r="I19" s="31"/>
      <c r="J19" s="30"/>
      <c r="K19" s="31"/>
      <c r="L19" s="31"/>
      <c r="M19" s="31"/>
      <c r="N19" s="31"/>
      <c r="O19" s="30"/>
      <c r="P19" s="31"/>
      <c r="Q19" s="31"/>
      <c r="R19" s="31"/>
      <c r="S19" s="31"/>
      <c r="T19" s="108"/>
      <c r="U19" s="160"/>
      <c r="V19" s="31"/>
      <c r="W19" s="65"/>
      <c r="X19" s="169"/>
      <c r="Y19" s="64"/>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56" t="s">
        <v>190</v>
      </c>
      <c r="B20" s="292"/>
      <c r="C20" s="324"/>
      <c r="D20" s="302"/>
      <c r="E20" s="303"/>
      <c r="F20" s="100"/>
      <c r="G20" s="76"/>
      <c r="H20" s="76"/>
      <c r="I20" s="76"/>
      <c r="J20" s="275"/>
      <c r="K20" s="76"/>
      <c r="L20" s="76"/>
      <c r="M20" s="76"/>
      <c r="N20" s="76"/>
      <c r="O20" s="275"/>
      <c r="P20" s="76"/>
      <c r="Q20" s="76"/>
      <c r="R20" s="76"/>
      <c r="S20" s="76"/>
      <c r="T20" s="273"/>
      <c r="U20" s="274"/>
      <c r="V20" s="275"/>
      <c r="W20" s="276"/>
      <c r="X20" s="176"/>
      <c r="Y20" s="505"/>
      <c r="Z20" s="71"/>
      <c r="AA20" s="71"/>
      <c r="AB20" s="71"/>
      <c r="AC20" s="285"/>
      <c r="AD20" s="72"/>
      <c r="AE20" s="71"/>
      <c r="AF20" s="71"/>
      <c r="AG20" s="71"/>
      <c r="AH20" s="285"/>
      <c r="AI20" s="72"/>
      <c r="AJ20" s="71"/>
      <c r="AK20" s="71"/>
      <c r="AL20" s="71"/>
      <c r="AM20" s="285"/>
      <c r="AN20" s="72"/>
      <c r="AO20" s="71"/>
      <c r="AP20" s="71"/>
      <c r="AQ20" s="71"/>
      <c r="AR20" s="285"/>
      <c r="AS20" s="72"/>
      <c r="AT20" s="71"/>
      <c r="AU20" s="71"/>
      <c r="AV20" s="71"/>
      <c r="AW20" s="285"/>
      <c r="AX20" s="72"/>
      <c r="AY20" s="71"/>
      <c r="AZ20" s="71"/>
      <c r="BA20" s="71"/>
      <c r="BB20" s="285"/>
      <c r="BC20" s="72"/>
      <c r="BD20" s="71"/>
      <c r="BE20" s="71"/>
      <c r="BF20" s="71"/>
      <c r="BG20" s="285"/>
      <c r="BH20" s="72"/>
      <c r="BI20" s="71"/>
      <c r="BJ20" s="71"/>
      <c r="BK20" s="71"/>
      <c r="BL20" s="285"/>
      <c r="BM20" s="72"/>
      <c r="BN20" s="71"/>
      <c r="BO20" s="71"/>
      <c r="BP20" s="71"/>
      <c r="BQ20" s="285"/>
      <c r="BR20" s="72"/>
      <c r="BS20" s="71"/>
      <c r="BT20" s="71"/>
      <c r="BU20" s="71"/>
      <c r="BV20" s="285"/>
      <c r="BW20" s="72"/>
      <c r="BX20" s="71"/>
      <c r="BY20" s="71"/>
      <c r="BZ20" s="71"/>
      <c r="CA20" s="285"/>
      <c r="CB20" s="72"/>
      <c r="CC20" s="71"/>
      <c r="CD20" s="71"/>
      <c r="CE20" s="71"/>
      <c r="CF20" s="285"/>
      <c r="CG20" s="89"/>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57" t="s">
        <v>191</v>
      </c>
      <c r="B21" s="367">
        <v>0.5</v>
      </c>
      <c r="C21" s="304">
        <v>7.0000000000000007E-2</v>
      </c>
      <c r="D21" s="121"/>
      <c r="E21" s="120"/>
      <c r="F21" s="129">
        <v>0</v>
      </c>
      <c r="G21" s="128">
        <v>0</v>
      </c>
      <c r="H21" s="33">
        <f>SUM(IF(ISBLANK(D21),B21,D21))</f>
        <v>0.5</v>
      </c>
      <c r="I21" s="33">
        <f>SUM(IF((1*(IF(ISBLANK(E21),C21,E21)))+IF(ISBLANK(D21),B21,D21) &lt; 0, 0, (1*(IF(ISBLANK(E21),C21,E21)))+IF(ISBLANK(D21),B21,D21)))</f>
        <v>0.57000000000000006</v>
      </c>
      <c r="J21" s="282">
        <f>SUM(AC21+AH21+AM21+AR21)</f>
        <v>130174.26620274299</v>
      </c>
      <c r="K21" s="33">
        <f>SUM(IF((2*(IF(ISBLANK(E21),C21,E21)))+IF(ISBLANK(D21),B21,D21) &lt; 0, 0, (2*(IF(ISBLANK(E21),C21,E21)))+IF(ISBLANK(D21),B21,D21)))</f>
        <v>0.64</v>
      </c>
      <c r="L21" s="33">
        <f>SUM(IF((3*(IF(ISBLANK(E21),C21,E21)))+IF(ISBLANK(D21),B21,D21) &lt; 0, 0, (3*(IF(ISBLANK(E21),C21,E21)))+IF(ISBLANK(D21),B21,D21)))</f>
        <v>0.71</v>
      </c>
      <c r="M21" s="33">
        <f>SUM(IF((4*(IF(ISBLANK(E21),C21,E21)))+IF(ISBLANK(D21),B21,D21) &lt; 0, 0, (4*(IF(ISBLANK(E21),C21,E21)))+IF(ISBLANK(D21),B21,D21)))</f>
        <v>0.78</v>
      </c>
      <c r="N21" s="33">
        <f>SUM(IF((5*(IF(ISBLANK(E21),C21,E21)))+IF(ISBLANK(D21),B21,D21) &lt; 0, 0, (5*(IF(ISBLANK(E21),C21,E21)))+IF(ISBLANK(D21),B21,D21)))</f>
        <v>0.85000000000000009</v>
      </c>
      <c r="O21" s="282">
        <f>SUM(AW21+BB21+BG21+BL21)</f>
        <v>2201278.3727296665</v>
      </c>
      <c r="P21" s="33">
        <f>SUM(IF((6*(IF(ISBLANK(E21),C21,E21)))+IF(ISBLANK(D21),B21,D21) &lt; 0, 0, (6*(IF(ISBLANK(E21),C21,E21)))+IF(ISBLANK(D21),B21,D21)))</f>
        <v>0.92</v>
      </c>
      <c r="Q21" s="33">
        <f>SUM(IF((7*(IF(ISBLANK(E21),C21,E21)))+IF(ISBLANK(D21),B21,D21) &lt; 0, 0, (7*(IF(ISBLANK(E21),C21,E21)))+IF(ISBLANK(D21),B21,D21)))</f>
        <v>0.99</v>
      </c>
      <c r="R21" s="33">
        <f>SUM(IF((8*(IF(ISBLANK(E21),C21,E21)))+IF(ISBLANK(D21),B21,D21) &lt; 0, 0, (8*(IF(ISBLANK(E21),C21,E21)))+IF(ISBLANK(D21),B21,D21)))</f>
        <v>1.06</v>
      </c>
      <c r="S21" s="33">
        <f>SUM(IF((9*(IF(ISBLANK(E21),C21,E21)))+IF(ISBLANK(D21),B21,D21) &lt; 0, 0, (9*(IF(ISBLANK(E21),C21,E21)))+IF(ISBLANK(D21),B21,D21)))</f>
        <v>1.1300000000000001</v>
      </c>
      <c r="T21" s="305">
        <f>SUM(BQ21+BV21+CA21+CF21)</f>
        <v>25298666.915200405</v>
      </c>
      <c r="U21" s="278">
        <f>SUM(IF((11*(IF(ISBLANK(E21),C21,E21)))+IF(ISBLANK(D21),B21,D21) &lt; 0, 0, (11*(IF(ISBLANK(E21),C21,E21)))+IF(ISBLANK(D21),B21,D21)))*12</f>
        <v>15.24</v>
      </c>
      <c r="V21" s="279">
        <f>SUM(IF((13*(IF(ISBLANK(E21),C21,E21)))+IF(ISBLANK(D21),B21,D21) &lt; 0, 0, (13*(IF(ISBLANK(E21),C21,E21)))+IF(ISBLANK(D21),B21,D21)))*12</f>
        <v>16.920000000000002</v>
      </c>
      <c r="W21" s="280">
        <f>SUM(IF((15*(IF(ISBLANK(E21),C21,E21)))+IF(ISBLANK(D21),B21,D21) &lt; 0, 0, (15*(IF(ISBLANK(E21),C21,E21)))+IF(ISBLANK(D21),B21,D21)))*12</f>
        <v>18.600000000000001</v>
      </c>
      <c r="X21" s="177"/>
      <c r="Y21" s="505">
        <v>0</v>
      </c>
      <c r="Z21" s="73">
        <f>SUM(Z18*F21)</f>
        <v>0</v>
      </c>
      <c r="AA21" s="73">
        <f>SUM(AA18*F21)</f>
        <v>0</v>
      </c>
      <c r="AB21" s="73">
        <f>SUM(AB18*F21)</f>
        <v>0</v>
      </c>
      <c r="AC21" s="282">
        <f t="shared" ref="AC21:AC29" si="106">SUM(Z21:AB21)</f>
        <v>0</v>
      </c>
      <c r="AD21" s="74"/>
      <c r="AE21" s="73">
        <f>SUM(AE18*G21)</f>
        <v>0</v>
      </c>
      <c r="AF21" s="73">
        <f>SUM(AF18*G21)</f>
        <v>0</v>
      </c>
      <c r="AG21" s="73">
        <f>SUM(AG18*G21)</f>
        <v>0</v>
      </c>
      <c r="AH21" s="282">
        <f t="shared" ref="AH21:AH29" si="107">SUM(AE21:AG21)</f>
        <v>0</v>
      </c>
      <c r="AI21" s="74"/>
      <c r="AJ21" s="73">
        <f>SUM(AJ18*H21)</f>
        <v>6587.7606801076581</v>
      </c>
      <c r="AK21" s="73">
        <f>SUM(AK18*H21)</f>
        <v>11098.291199090763</v>
      </c>
      <c r="AL21" s="73">
        <f>SUM(AL18*H21)</f>
        <v>16148.838548995394</v>
      </c>
      <c r="AM21" s="282">
        <f t="shared" ref="AM21:AM29" si="108">SUM(AJ21:AL21)</f>
        <v>33834.890428193816</v>
      </c>
      <c r="AN21" s="74"/>
      <c r="AO21" s="73">
        <f>SUM(AO18*I21)</f>
        <v>24871.589974784922</v>
      </c>
      <c r="AP21" s="73">
        <f>SUM(AP18*I21)</f>
        <v>31905.559326857798</v>
      </c>
      <c r="AQ21" s="73">
        <f>SUM(AQ18*I21)</f>
        <v>39562.226472906455</v>
      </c>
      <c r="AR21" s="282">
        <f t="shared" ref="AR21:AR29" si="109">SUM(AO21:AQ21)</f>
        <v>96339.375774549175</v>
      </c>
      <c r="AS21" s="74"/>
      <c r="AT21" s="73">
        <f>SUM(AT18*K21)</f>
        <v>54293.307112718401</v>
      </c>
      <c r="AU21" s="73">
        <f>SUM(AU18*K21)</f>
        <v>64758.179923758078</v>
      </c>
      <c r="AV21" s="73">
        <f>SUM(AV18*K21)</f>
        <v>75850.900070394477</v>
      </c>
      <c r="AW21" s="282">
        <f t="shared" ref="AW21:AW29" si="110">SUM(AT21:AV21)</f>
        <v>194902.38710687094</v>
      </c>
      <c r="AX21" s="74"/>
      <c r="AY21" s="73">
        <f>SUM(AY18*L21)</f>
        <v>99732.092391013197</v>
      </c>
      <c r="AZ21" s="73">
        <f>SUM(AZ18*L21)</f>
        <v>115862.47578212075</v>
      </c>
      <c r="BA21" s="73">
        <f>SUM(BA18*L21)</f>
        <v>132557.32764290107</v>
      </c>
      <c r="BB21" s="282">
        <f t="shared" ref="BB21:BB29" si="111">SUM(AY21:BA21)</f>
        <v>348151.89581603499</v>
      </c>
      <c r="BC21" s="74"/>
      <c r="BD21" s="73">
        <f>SUM(BD18*M21)</f>
        <v>172428.95696854629</v>
      </c>
      <c r="BE21" s="73">
        <f>SUM(BE18*M21)</f>
        <v>200089.01358154422</v>
      </c>
      <c r="BF21" s="73">
        <f>SUM(BF18*M21)</f>
        <v>228633.96134099987</v>
      </c>
      <c r="BG21" s="282">
        <f t="shared" ref="BG21:BG29" si="112">SUM(BD21:BF21)</f>
        <v>601151.93189109047</v>
      </c>
      <c r="BH21" s="74"/>
      <c r="BI21" s="73">
        <f>SUM(BI18*N21)</f>
        <v>299568.6352695488</v>
      </c>
      <c r="BJ21" s="73">
        <f>SUM(BJ18*N21)</f>
        <v>351748.82947124116</v>
      </c>
      <c r="BK21" s="73">
        <f>SUM(BK18*N21)</f>
        <v>405754.69317488035</v>
      </c>
      <c r="BL21" s="282">
        <f t="shared" ref="BL21:BL29" si="113">SUM(BI21:BK21)</f>
        <v>1057072.1579156704</v>
      </c>
      <c r="BM21" s="74"/>
      <c r="BN21" s="73">
        <f>SUM(BN18*P21)</f>
        <v>534321.19385991432</v>
      </c>
      <c r="BO21" s="73">
        <f>SUM(BO18*P21)</f>
        <v>633086.5993900398</v>
      </c>
      <c r="BP21" s="73">
        <f>SUM(BP18*P21)</f>
        <v>735603.26733222743</v>
      </c>
      <c r="BQ21" s="282">
        <f t="shared" ref="BQ21:BQ29" si="114">SUM(BN21:BP21)</f>
        <v>1903011.0605821814</v>
      </c>
      <c r="BR21" s="74"/>
      <c r="BS21" s="73">
        <f>SUM(BS18*Q21)</f>
        <v>975250.75691861566</v>
      </c>
      <c r="BT21" s="73">
        <f>SUM(BT18*Q21)</f>
        <v>1166453.9792814406</v>
      </c>
      <c r="BU21" s="73">
        <f>SUM(BU18*Q21)</f>
        <v>1365491.0810366797</v>
      </c>
      <c r="BV21" s="282">
        <f t="shared" ref="BV21:BV29" si="115">SUM(BS21:BU21)</f>
        <v>3507195.8172367355</v>
      </c>
      <c r="BW21" s="74"/>
      <c r="BX21" s="73">
        <f>SUM(BX18*R21)</f>
        <v>1836346.3811488671</v>
      </c>
      <c r="BY21" s="73">
        <f>SUM(BY18*R21)</f>
        <v>2227104.3806420588</v>
      </c>
      <c r="BZ21" s="73">
        <f>SUM(BZ18*R21)</f>
        <v>2635038.1258829213</v>
      </c>
      <c r="CA21" s="282">
        <f t="shared" ref="CA21:CA29" si="116">SUM(BX21:BZ21)</f>
        <v>6698488.8876738474</v>
      </c>
      <c r="CB21" s="74"/>
      <c r="CC21" s="73">
        <f>SUM(CC18*S21)</f>
        <v>3578499.5788954552</v>
      </c>
      <c r="CD21" s="73">
        <f>SUM(CD18*S21)</f>
        <v>4384056.4614578886</v>
      </c>
      <c r="CE21" s="73">
        <f>SUM(CE18*S21)</f>
        <v>5227415.1093542995</v>
      </c>
      <c r="CF21" s="282">
        <f t="shared" ref="CF21:CF29" si="117">SUM(CC21:CE21)</f>
        <v>13189971.149707643</v>
      </c>
      <c r="CG21" s="88"/>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57" t="s">
        <v>192</v>
      </c>
      <c r="B22" s="367">
        <v>0.3</v>
      </c>
      <c r="C22" s="304">
        <v>7.0000000000000007E-2</v>
      </c>
      <c r="D22" s="121"/>
      <c r="E22" s="120"/>
      <c r="F22" s="129">
        <v>0</v>
      </c>
      <c r="G22" s="128">
        <v>0</v>
      </c>
      <c r="H22" s="33">
        <f t="shared" ref="H22" si="118">SUM(IF(ISBLANK(D22),B22,D22))</f>
        <v>0.3</v>
      </c>
      <c r="I22" s="33">
        <f t="shared" ref="I22" si="119">SUM(IF((1*(IF(ISBLANK(E22),C22,E22)))+IF(ISBLANK(D22),B22,D22) &lt; 0, 0, (1*(IF(ISBLANK(E22),C22,E22)))+IF(ISBLANK(D22),B22,D22)))</f>
        <v>0.37</v>
      </c>
      <c r="J22" s="282">
        <f>SUM(AC22+AH22+AM22+AR22)</f>
        <v>62536.08602909332</v>
      </c>
      <c r="K22" s="33">
        <f t="shared" ref="K22" si="120">SUM(IF((2*(IF(ISBLANK(E22),C22,E22)))+IF(ISBLANK(D22),B22,D22) &lt; 0, 0, (2*(IF(ISBLANK(E22),C22,E22)))+IF(ISBLANK(D22),B22,D22)))</f>
        <v>0.44</v>
      </c>
      <c r="L22" s="33">
        <f t="shared" ref="L22" si="121">SUM(IF((3*(IF(ISBLANK(E22),C22,E22)))+IF(ISBLANK(D22),B22,D22) &lt; 0, 0, (3*(IF(ISBLANK(E22),C22,E22)))+IF(ISBLANK(D22),B22,D22)))</f>
        <v>0.51</v>
      </c>
      <c r="M22" s="33">
        <f t="shared" ref="M22" si="122">SUM(IF((4*(IF(ISBLANK(E22),C22,E22)))+IF(ISBLANK(D22),B22,D22) &lt; 0, 0, (4*(IF(ISBLANK(E22),C22,E22)))+IF(ISBLANK(D22),B22,D22)))</f>
        <v>0.58000000000000007</v>
      </c>
      <c r="N22" s="33">
        <f t="shared" ref="N22" si="123">SUM(IF((5*(IF(ISBLANK(E22),C22,E22)))+IF(ISBLANK(D22),B22,D22) &lt; 0, 0, (5*(IF(ISBLANK(E22),C22,E22)))+IF(ISBLANK(D22),B22,D22)))</f>
        <v>0.65</v>
      </c>
      <c r="O22" s="282">
        <f t="shared" ref="O22:O29" si="124">SUM(AW22+BB22+BG22+BL22)</f>
        <v>1639436.0385071167</v>
      </c>
      <c r="P22" s="33">
        <f t="shared" ref="P22" si="125">SUM(IF((6*(IF(ISBLANK(E22),C22,E22)))+IF(ISBLANK(D22),B22,D22) &lt; 0, 0, (6*(IF(ISBLANK(E22),C22,E22)))+IF(ISBLANK(D22),B22,D22)))</f>
        <v>0.72</v>
      </c>
      <c r="Q22" s="33">
        <f t="shared" ref="Q22" si="126">SUM(IF((7*(IF(ISBLANK(E22),C22,E22)))+IF(ISBLANK(D22),B22,D22) &lt; 0, 0, (7*(IF(ISBLANK(E22),C22,E22)))+IF(ISBLANK(D22),B22,D22)))</f>
        <v>0.79</v>
      </c>
      <c r="R22" s="33">
        <f t="shared" ref="R22" si="127">SUM(IF((8*(IF(ISBLANK(E22),C22,E22)))+IF(ISBLANK(D22),B22,D22) &lt; 0, 0, (8*(IF(ISBLANK(E22),C22,E22)))+IF(ISBLANK(D22),B22,D22)))</f>
        <v>0.8600000000000001</v>
      </c>
      <c r="S22" s="33">
        <f t="shared" ref="S22" si="128">SUM(IF((9*(IF(ISBLANK(E22),C22,E22)))+IF(ISBLANK(D22),B22,D22) &lt; 0, 0, (9*(IF(ISBLANK(E22),C22,E22)))+IF(ISBLANK(D22),B22,D22)))</f>
        <v>0.93000000000000016</v>
      </c>
      <c r="T22" s="305">
        <f t="shared" ref="T22:T29" si="129">SUM(BQ22+BV22+CA22+CF22)</f>
        <v>20578070.455076698</v>
      </c>
      <c r="U22" s="278">
        <f>SUM(IF((11*(IF(ISBLANK(E22),C22,E22)))+IF(ISBLANK(D22),B22,D22) &lt; 0, 0, (11*(IF(ISBLANK(E22),C22,E22)))+IF(ISBLANK(D22),B22,D22)))*12</f>
        <v>12.84</v>
      </c>
      <c r="V22" s="279">
        <f>SUM(IF((13*(IF(ISBLANK(E22),C22,E22)))+IF(ISBLANK(D22),B22,D22) &lt; 0, 0, (13*(IF(ISBLANK(E22),C22,E22)))+IF(ISBLANK(D22),B22,D22)))*12</f>
        <v>14.520000000000003</v>
      </c>
      <c r="W22" s="280">
        <f>SUM(IF((15*(IF(ISBLANK(E22),C22,E22)))+IF(ISBLANK(D22),B22,D22) &lt; 0, 0, (15*(IF(ISBLANK(E22),C22,E22)))+IF(ISBLANK(D22),B22,D22)))*12</f>
        <v>16.200000000000003</v>
      </c>
      <c r="X22" s="177"/>
      <c r="Y22" s="505">
        <v>0</v>
      </c>
      <c r="Z22" s="73">
        <f>SUM(Z18*F22)</f>
        <v>0</v>
      </c>
      <c r="AA22" s="73">
        <f>SUM(AA18*F22)</f>
        <v>0</v>
      </c>
      <c r="AB22" s="73">
        <f>SUM(AB18*F22)</f>
        <v>0</v>
      </c>
      <c r="AC22" s="282">
        <f t="shared" si="106"/>
        <v>0</v>
      </c>
      <c r="AD22" s="74"/>
      <c r="AE22" s="73">
        <f>SUM(AE18*G22)</f>
        <v>0</v>
      </c>
      <c r="AF22" s="73">
        <f>SUM(AF18*G22)</f>
        <v>0</v>
      </c>
      <c r="AG22" s="73">
        <f>SUM(AG18*G22)</f>
        <v>0</v>
      </c>
      <c r="AH22" s="282">
        <f t="shared" si="107"/>
        <v>0</v>
      </c>
      <c r="AI22" s="74"/>
      <c r="AJ22" s="73">
        <f t="shared" ref="AJ22:AJ28" si="130">SUM(AJ19*H22)</f>
        <v>0</v>
      </c>
      <c r="AK22" s="73">
        <f t="shared" ref="AK22:AK28" si="131">SUM(AK19*H22)</f>
        <v>0</v>
      </c>
      <c r="AL22" s="73">
        <f t="shared" ref="AL22:AL28" si="132">SUM(AL19*H22)</f>
        <v>0</v>
      </c>
      <c r="AM22" s="282">
        <f t="shared" si="108"/>
        <v>0</v>
      </c>
      <c r="AN22" s="74"/>
      <c r="AO22" s="73">
        <f>SUM(AO18*I22)</f>
        <v>16144.716299421789</v>
      </c>
      <c r="AP22" s="73">
        <f>SUM(AP18*I22)</f>
        <v>20710.626229714708</v>
      </c>
      <c r="AQ22" s="73">
        <f>SUM(AQ18*I22)</f>
        <v>25680.743499956821</v>
      </c>
      <c r="AR22" s="282">
        <f t="shared" si="109"/>
        <v>62536.08602909332</v>
      </c>
      <c r="AS22" s="74"/>
      <c r="AT22" s="73">
        <f>SUM(AT18*K22)</f>
        <v>37326.648639993902</v>
      </c>
      <c r="AU22" s="73">
        <f>SUM(AU18*K22)</f>
        <v>44521.24869758368</v>
      </c>
      <c r="AV22" s="73">
        <f>SUM(AV18*K22)</f>
        <v>52147.493798396201</v>
      </c>
      <c r="AW22" s="282">
        <f t="shared" si="110"/>
        <v>133995.3911359738</v>
      </c>
      <c r="AX22" s="74"/>
      <c r="AY22" s="73">
        <f>SUM(AY18*L22)</f>
        <v>71638.545238615116</v>
      </c>
      <c r="AZ22" s="73">
        <f>SUM(AZ18*L22)</f>
        <v>83225.158660396599</v>
      </c>
      <c r="BA22" s="73">
        <f>SUM(BA18*L22)</f>
        <v>95217.235349126131</v>
      </c>
      <c r="BB22" s="282">
        <f t="shared" si="111"/>
        <v>250080.93924813785</v>
      </c>
      <c r="BC22" s="74"/>
      <c r="BD22" s="73">
        <f>SUM(BD18*M22)</f>
        <v>128216.40389968829</v>
      </c>
      <c r="BE22" s="73">
        <f>SUM(BE18*M22)</f>
        <v>148784.1383042252</v>
      </c>
      <c r="BF22" s="73">
        <f>SUM(BF18*M22)</f>
        <v>170009.86868946144</v>
      </c>
      <c r="BG22" s="282">
        <f t="shared" si="112"/>
        <v>447010.41089337494</v>
      </c>
      <c r="BH22" s="74"/>
      <c r="BI22" s="73">
        <f>SUM(BI18*N22)</f>
        <v>229081.89755906674</v>
      </c>
      <c r="BJ22" s="73">
        <f>SUM(BJ18*N22)</f>
        <v>268984.39900741971</v>
      </c>
      <c r="BK22" s="73">
        <f>SUM(BK18*N22)</f>
        <v>310283.00066314376</v>
      </c>
      <c r="BL22" s="282">
        <f t="shared" si="113"/>
        <v>808349.29722963017</v>
      </c>
      <c r="BM22" s="74"/>
      <c r="BN22" s="73">
        <f>SUM(BN18*P22)</f>
        <v>418164.41258601984</v>
      </c>
      <c r="BO22" s="73">
        <f>SUM(BO18*P22)</f>
        <v>495459.07778350939</v>
      </c>
      <c r="BP22" s="73">
        <f>SUM(BP18*P22)</f>
        <v>575689.51356435183</v>
      </c>
      <c r="BQ22" s="282">
        <f t="shared" si="114"/>
        <v>1489313.0039338809</v>
      </c>
      <c r="BR22" s="74"/>
      <c r="BS22" s="73">
        <f>SUM(BS18*Q22)</f>
        <v>778230.40198556206</v>
      </c>
      <c r="BT22" s="73">
        <f>SUM(BT18*Q22)</f>
        <v>930806.71073973551</v>
      </c>
      <c r="BU22" s="73">
        <f>SUM(BU18*Q22)</f>
        <v>1089634.2969888656</v>
      </c>
      <c r="BV22" s="282">
        <f t="shared" si="115"/>
        <v>2798671.4097141633</v>
      </c>
      <c r="BW22" s="74"/>
      <c r="BX22" s="73">
        <f>SUM(BX18*R22)</f>
        <v>1489865.9318754962</v>
      </c>
      <c r="BY22" s="73">
        <f>SUM(BY18*R22)</f>
        <v>1806896.0069360102</v>
      </c>
      <c r="BZ22" s="73">
        <f>SUM(BZ18*R22)</f>
        <v>2137861.1209993516</v>
      </c>
      <c r="CA22" s="282">
        <f t="shared" si="116"/>
        <v>5434623.0598108582</v>
      </c>
      <c r="CB22" s="74"/>
      <c r="CC22" s="73">
        <f>SUM(CC18*S22)</f>
        <v>2945136.8215688262</v>
      </c>
      <c r="CD22" s="73">
        <f>SUM(CD18*S22)</f>
        <v>3608117.2647396782</v>
      </c>
      <c r="CE22" s="73">
        <f>SUM(CE18*S22)</f>
        <v>4302208.8953092908</v>
      </c>
      <c r="CF22" s="282">
        <f t="shared" si="117"/>
        <v>10855462.981617795</v>
      </c>
      <c r="CG22" s="88"/>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57" t="s">
        <v>193</v>
      </c>
      <c r="B23" s="367">
        <v>0.1</v>
      </c>
      <c r="C23" s="304">
        <v>7.0000000000000007E-2</v>
      </c>
      <c r="D23" s="121"/>
      <c r="E23" s="120"/>
      <c r="F23" s="129">
        <v>0</v>
      </c>
      <c r="G23" s="128">
        <v>0</v>
      </c>
      <c r="H23" s="360">
        <v>0</v>
      </c>
      <c r="I23" s="360">
        <v>0</v>
      </c>
      <c r="J23" s="282">
        <f t="shared" ref="J23:J29" si="133">SUM(AC23+AH23+AM23+AR23)</f>
        <v>0</v>
      </c>
      <c r="K23" s="33">
        <f>SUM(IF((0*(IF(ISBLANK(E23),C23,E23)))+IF(ISBLANK(D23),B23,D23) &lt; 0, 0, (0*(IF(ISBLANK(E23),C23,E23)))+IF(ISBLANK(D23),B23,D23)))</f>
        <v>0.1</v>
      </c>
      <c r="L23" s="33">
        <f>SUM(IF((1*(IF(ISBLANK(E23),C23,E23)))+IF(ISBLANK(D23),B23,D23) &lt; 0, 0, (1*(IF(ISBLANK(E23),C23,E23)))+IF(ISBLANK(D23),B23,D23)))</f>
        <v>0.17</v>
      </c>
      <c r="M23" s="33">
        <f>SUM(IF((2*(IF(ISBLANK(E23),C23,E23)))+IF(ISBLANK(D23),B23,D23) &lt; 0, 0, (2*(IF(ISBLANK(E23),C23,E23)))+IF(ISBLANK(D23),B23,D23)))</f>
        <v>0.24000000000000002</v>
      </c>
      <c r="N23" s="33">
        <f>SUM(IF((3*(IF(ISBLANK(E23),C23,E23)))+IF(ISBLANK(D23),B23,D23) &lt; 0, 0, (3*(IF(ISBLANK(E23),C23,E23)))+IF(ISBLANK(D23),B23,D23)))</f>
        <v>0.31000000000000005</v>
      </c>
      <c r="O23" s="282">
        <f t="shared" si="124"/>
        <v>684304.07032878185</v>
      </c>
      <c r="P23" s="33">
        <f>SUM(IF((4*(IF(ISBLANK(E23),C23,E23)))+IF(ISBLANK(D23),B23,D23) &lt; 0, 0, (4*(IF(ISBLANK(E23),C23,E23)))+IF(ISBLANK(D23),B23,D23)))</f>
        <v>0.38</v>
      </c>
      <c r="Q23" s="33">
        <f>SUM(IF((5*(IF(ISBLANK(E23),C23,E23)))+IF(ISBLANK(D23),B23,D23) &lt; 0, 0, (5*(IF(ISBLANK(E23),C23,E23)))+IF(ISBLANK(D23),B23,D23)))</f>
        <v>0.45000000000000007</v>
      </c>
      <c r="R23" s="33">
        <f>SUM(IF((6*(IF(ISBLANK(E23),C23,E23)))+IF(ISBLANK(D23),B23,D23) &lt; 0, 0, (6*(IF(ISBLANK(E23),C23,E23)))+IF(ISBLANK(D23),B23,D23)))</f>
        <v>0.52</v>
      </c>
      <c r="S23" s="33">
        <f>SUM(IF((7*(IF(ISBLANK(E23),C23,E23)))+IF(ISBLANK(D23),B23,D23) &lt; 0, 0, (7*(IF(ISBLANK(E23),C23,E23)))+IF(ISBLANK(D23),B23,D23)))</f>
        <v>0.59000000000000008</v>
      </c>
      <c r="T23" s="305">
        <f t="shared" si="129"/>
        <v>12553056.472866386</v>
      </c>
      <c r="U23" s="278">
        <f>SUM(IF((9*(IF(ISBLANK(E23),C23,E23)))+IF(ISBLANK(D23),B23,D23) &lt; 0, 0, (9*(IF(ISBLANK(E23),C23,E23)))+IF(ISBLANK(D23),B23,D23)))*12</f>
        <v>8.7600000000000016</v>
      </c>
      <c r="V23" s="279">
        <f>SUM(IF((11*(IF(ISBLANK(E23),C23,E23)))+IF(ISBLANK(D23),B23,D23) &lt; 0, 0, (11*(IF(ISBLANK(E23),C23,E23)))+IF(ISBLANK(D23),B23,D23)))*12</f>
        <v>10.44</v>
      </c>
      <c r="W23" s="280">
        <f>SUM(IF((13*(IF(ISBLANK(E23),C23,E23)))+IF(ISBLANK(D23),B23,D23) &lt; 0, 0, (13*(IF(ISBLANK(E23),C23,E23)))+IF(ISBLANK(D23),B23,D23)))*12</f>
        <v>12.120000000000003</v>
      </c>
      <c r="X23" s="177"/>
      <c r="Y23" s="505">
        <v>0</v>
      </c>
      <c r="Z23" s="73">
        <f>SUM(Z18*F23)</f>
        <v>0</v>
      </c>
      <c r="AA23" s="73">
        <f>SUM(AA18*F23)</f>
        <v>0</v>
      </c>
      <c r="AB23" s="73">
        <f>SUM(AB18*F23)</f>
        <v>0</v>
      </c>
      <c r="AC23" s="282">
        <f t="shared" si="106"/>
        <v>0</v>
      </c>
      <c r="AD23" s="74"/>
      <c r="AE23" s="73">
        <f>SUM(AE18*G23)</f>
        <v>0</v>
      </c>
      <c r="AF23" s="73">
        <f>SUM(AF18*G23)</f>
        <v>0</v>
      </c>
      <c r="AG23" s="73">
        <f>SUM(AG18*G23)</f>
        <v>0</v>
      </c>
      <c r="AH23" s="282">
        <f t="shared" si="107"/>
        <v>0</v>
      </c>
      <c r="AI23" s="74"/>
      <c r="AJ23" s="73">
        <f t="shared" si="130"/>
        <v>0</v>
      </c>
      <c r="AK23" s="73">
        <f t="shared" si="131"/>
        <v>0</v>
      </c>
      <c r="AL23" s="73">
        <f t="shared" si="132"/>
        <v>0</v>
      </c>
      <c r="AM23" s="282">
        <f t="shared" si="108"/>
        <v>0</v>
      </c>
      <c r="AN23" s="74"/>
      <c r="AO23" s="73">
        <f>SUM(AO18*I23)</f>
        <v>0</v>
      </c>
      <c r="AP23" s="73">
        <f>SUM(AP18*I23)</f>
        <v>0</v>
      </c>
      <c r="AQ23" s="73">
        <f>SUM(AQ18*I23)</f>
        <v>0</v>
      </c>
      <c r="AR23" s="282">
        <f t="shared" si="109"/>
        <v>0</v>
      </c>
      <c r="AS23" s="74"/>
      <c r="AT23" s="73">
        <f>SUM(AT18*K23)</f>
        <v>8483.3292363622513</v>
      </c>
      <c r="AU23" s="73">
        <f>SUM(AU18*K23)</f>
        <v>10118.465613087201</v>
      </c>
      <c r="AV23" s="73">
        <f>SUM(AV18*K23)</f>
        <v>11851.703135999138</v>
      </c>
      <c r="AW23" s="282">
        <f t="shared" si="110"/>
        <v>30453.49798544859</v>
      </c>
      <c r="AX23" s="74"/>
      <c r="AY23" s="73">
        <f>SUM(AY18*L23)</f>
        <v>23879.515079538374</v>
      </c>
      <c r="AZ23" s="73">
        <f>SUM(AZ18*L23)</f>
        <v>27741.719553465533</v>
      </c>
      <c r="BA23" s="73">
        <f>SUM(BA18*L23)</f>
        <v>31739.078449708712</v>
      </c>
      <c r="BB23" s="282">
        <f t="shared" si="111"/>
        <v>83360.313082712615</v>
      </c>
      <c r="BC23" s="74"/>
      <c r="BD23" s="73">
        <f>SUM(BD18*M23)</f>
        <v>53055.063682629632</v>
      </c>
      <c r="BE23" s="73">
        <f>SUM(BE18*M23)</f>
        <v>61565.850332782844</v>
      </c>
      <c r="BF23" s="73">
        <f>SUM(BF18*M23)</f>
        <v>70348.91118184611</v>
      </c>
      <c r="BG23" s="282">
        <f t="shared" si="112"/>
        <v>184969.82519725859</v>
      </c>
      <c r="BH23" s="74"/>
      <c r="BI23" s="73">
        <f>SUM(BI18*N23)</f>
        <v>109254.44345124722</v>
      </c>
      <c r="BJ23" s="73">
        <f>SUM(BJ18*N23)</f>
        <v>128284.86721892326</v>
      </c>
      <c r="BK23" s="73">
        <f>SUM(BK18*N23)</f>
        <v>147981.12339319166</v>
      </c>
      <c r="BL23" s="282">
        <f t="shared" si="113"/>
        <v>385520.43406336213</v>
      </c>
      <c r="BM23" s="74"/>
      <c r="BN23" s="73">
        <f>SUM(BN18*P23)</f>
        <v>220697.88442039938</v>
      </c>
      <c r="BO23" s="73">
        <f>SUM(BO18*P23)</f>
        <v>261492.29105240773</v>
      </c>
      <c r="BP23" s="73">
        <f>SUM(BP18*P23)</f>
        <v>303836.13215896348</v>
      </c>
      <c r="BQ23" s="282">
        <f t="shared" si="114"/>
        <v>786026.30763177061</v>
      </c>
      <c r="BR23" s="74"/>
      <c r="BS23" s="73">
        <f>SUM(BS18*Q23)</f>
        <v>443295.79859937081</v>
      </c>
      <c r="BT23" s="73">
        <f>SUM(BT18*Q23)</f>
        <v>530206.35421883676</v>
      </c>
      <c r="BU23" s="73">
        <f>SUM(BU18*Q23)</f>
        <v>620677.76410758181</v>
      </c>
      <c r="BV23" s="282">
        <f t="shared" si="115"/>
        <v>1594179.9169257893</v>
      </c>
      <c r="BW23" s="74"/>
      <c r="BX23" s="73">
        <f>SUM(BX18*R23)</f>
        <v>900849.16811076493</v>
      </c>
      <c r="BY23" s="73">
        <f>SUM(BY18*R23)</f>
        <v>1092541.771635727</v>
      </c>
      <c r="BZ23" s="73">
        <f>SUM(BZ18*R23)</f>
        <v>1292660.2126972822</v>
      </c>
      <c r="CA23" s="282">
        <f t="shared" si="116"/>
        <v>3286051.152443774</v>
      </c>
      <c r="CB23" s="74"/>
      <c r="CC23" s="73">
        <f>SUM(CC18*S23)</f>
        <v>1868420.1341135565</v>
      </c>
      <c r="CD23" s="73">
        <f>SUM(CD18*S23)</f>
        <v>2289020.6303187204</v>
      </c>
      <c r="CE23" s="73">
        <f>SUM(CE18*S23)</f>
        <v>2729358.3314327761</v>
      </c>
      <c r="CF23" s="282">
        <f t="shared" si="117"/>
        <v>6886799.0958650522</v>
      </c>
      <c r="CG23" s="88"/>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57" t="s">
        <v>194</v>
      </c>
      <c r="B24" s="367">
        <v>0.05</v>
      </c>
      <c r="C24" s="304">
        <v>0.1</v>
      </c>
      <c r="D24" s="121"/>
      <c r="E24" s="120"/>
      <c r="F24" s="129">
        <v>0</v>
      </c>
      <c r="G24" s="128">
        <v>0</v>
      </c>
      <c r="H24" s="360">
        <v>0</v>
      </c>
      <c r="I24" s="360">
        <v>0</v>
      </c>
      <c r="J24" s="282">
        <f t="shared" si="133"/>
        <v>0</v>
      </c>
      <c r="K24" s="33">
        <f>SUM(IF((0*(IF(ISBLANK(E24),C24,E24)))+IF(ISBLANK(D24),B24,D24) &lt; 0, 0, (0*(IF(ISBLANK(E24),C24,E24)))+IF(ISBLANK(D24),B24,D24)))</f>
        <v>0.05</v>
      </c>
      <c r="L24" s="33">
        <f>SUM(IF((1*(IF(ISBLANK(E24),C24,E24)))+IF(ISBLANK(D24),B24,D24) &lt; 0, 0, (1*(IF(ISBLANK(E24),C24,E24)))+IF(ISBLANK(D24),B24,D24)))</f>
        <v>0.15000000000000002</v>
      </c>
      <c r="M24" s="33">
        <f>SUM(IF((2*(IF(ISBLANK(E24),C24,E24)))+IF(ISBLANK(D24),B24,D24) &lt; 0, 0, (2*(IF(ISBLANK(E24),C24,E24)))+IF(ISBLANK(D24),B24,D24)))</f>
        <v>0.25</v>
      </c>
      <c r="N24" s="33">
        <f>SUM(IF((3*(IF(ISBLANK(E24),C24,E24)))+IF(ISBLANK(D24),B24,D24) &lt; 0, 0, (3*(IF(ISBLANK(E24),C24,E24)))+IF(ISBLANK(D24),B24,D24)))</f>
        <v>0.35000000000000003</v>
      </c>
      <c r="O24" s="282">
        <f t="shared" si="124"/>
        <v>716721.87386636168</v>
      </c>
      <c r="P24" s="33">
        <f>SUM(IF((4*(IF(ISBLANK(E24),C24,E24)))+IF(ISBLANK(D24),B24,D24) &lt; 0, 0, (4*(IF(ISBLANK(E24),C24,E24)))+IF(ISBLANK(D24),B24,D24)))</f>
        <v>0.45</v>
      </c>
      <c r="Q24" s="33">
        <f>SUM(IF((5*(IF(ISBLANK(E24),C24,E24)))+IF(ISBLANK(D24),B24,D24) &lt; 0, 0, (5*(IF(ISBLANK(E24),C24,E24)))+IF(ISBLANK(D24),B24,D24)))</f>
        <v>0.55000000000000004</v>
      </c>
      <c r="R24" s="33">
        <f>SUM(IF((6*(IF(ISBLANK(E24),C24,E24)))+IF(ISBLANK(D24),B24,D24) &lt; 0, 0, (6*(IF(ISBLANK(E24),C24,E24)))+IF(ISBLANK(D24),B24,D24)))</f>
        <v>0.65000000000000013</v>
      </c>
      <c r="S24" s="33">
        <f>SUM(IF((7*(IF(ISBLANK(E24),C24,E24)))+IF(ISBLANK(D24),B24,D24) &lt; 0, 0, (7*(IF(ISBLANK(E24),C24,E24)))+IF(ISBLANK(D24),B24,D24)))</f>
        <v>0.75000000000000011</v>
      </c>
      <c r="T24" s="305">
        <f t="shared" si="129"/>
        <v>15741232.319037404</v>
      </c>
      <c r="U24" s="278">
        <f>SUM(IF((9*(IF(ISBLANK(E24),C24,E24)))+IF(ISBLANK(D24),B24,D24) &lt; 0, 0, (9*(IF(ISBLANK(E24),C24,E24)))+IF(ISBLANK(D24),B24,D24)))*12</f>
        <v>11.4</v>
      </c>
      <c r="V24" s="279">
        <f>SUM(IF((11*(IF(ISBLANK(E24),C24,E24)))+IF(ISBLANK(D24),B24,D24) &lt; 0, 0, (11*(IF(ISBLANK(E24),C24,E24)))+IF(ISBLANK(D24),B24,D24)))*12</f>
        <v>13.8</v>
      </c>
      <c r="W24" s="280">
        <f>SUM(IF((13*(IF(ISBLANK(E24),C24,E24)))+IF(ISBLANK(D24),B24,D24) &lt; 0, 0, (13*(IF(ISBLANK(E24),C24,E24)))+IF(ISBLANK(D24),B24,D24)))*12</f>
        <v>16.200000000000003</v>
      </c>
      <c r="X24" s="177"/>
      <c r="Y24" s="505">
        <v>0</v>
      </c>
      <c r="Z24" s="73">
        <f>SUM(Z18*F24)</f>
        <v>0</v>
      </c>
      <c r="AA24" s="73">
        <f>SUM(AA18*F24)</f>
        <v>0</v>
      </c>
      <c r="AB24" s="73">
        <f>SUM(AB18*F24)</f>
        <v>0</v>
      </c>
      <c r="AC24" s="282">
        <f t="shared" si="106"/>
        <v>0</v>
      </c>
      <c r="AD24" s="74"/>
      <c r="AE24" s="73">
        <f>SUM(AE18*G24)</f>
        <v>0</v>
      </c>
      <c r="AF24" s="73">
        <f>SUM(AF18*G24)</f>
        <v>0</v>
      </c>
      <c r="AG24" s="73">
        <f>SUM(AG18*G24)</f>
        <v>0</v>
      </c>
      <c r="AH24" s="282">
        <f t="shared" si="107"/>
        <v>0</v>
      </c>
      <c r="AI24" s="74"/>
      <c r="AJ24" s="73">
        <f t="shared" si="130"/>
        <v>0</v>
      </c>
      <c r="AK24" s="73">
        <f t="shared" si="131"/>
        <v>0</v>
      </c>
      <c r="AL24" s="73">
        <f t="shared" si="132"/>
        <v>0</v>
      </c>
      <c r="AM24" s="282">
        <f t="shared" si="108"/>
        <v>0</v>
      </c>
      <c r="AN24" s="74"/>
      <c r="AO24" s="73">
        <f>SUM(AO18*I24)</f>
        <v>0</v>
      </c>
      <c r="AP24" s="73">
        <f>SUM(AP18*I24)</f>
        <v>0</v>
      </c>
      <c r="AQ24" s="73">
        <f>SUM(AQ18*I24)</f>
        <v>0</v>
      </c>
      <c r="AR24" s="282">
        <f t="shared" si="109"/>
        <v>0</v>
      </c>
      <c r="AS24" s="74"/>
      <c r="AT24" s="73">
        <f>SUM(AT18*K24)</f>
        <v>4241.6646181811257</v>
      </c>
      <c r="AU24" s="73">
        <f>SUM(AU18*K24)</f>
        <v>5059.2328065436004</v>
      </c>
      <c r="AV24" s="73">
        <f>SUM(AV18*K24)</f>
        <v>5925.8515679995689</v>
      </c>
      <c r="AW24" s="282">
        <f t="shared" si="110"/>
        <v>15226.748992724295</v>
      </c>
      <c r="AX24" s="74"/>
      <c r="AY24" s="73">
        <f>SUM(AY18*L24)</f>
        <v>21070.160364298565</v>
      </c>
      <c r="AZ24" s="73">
        <f>SUM(AZ18*L24)</f>
        <v>24477.987841293121</v>
      </c>
      <c r="BA24" s="73">
        <f>SUM(BA18*L24)</f>
        <v>28005.069220331221</v>
      </c>
      <c r="BB24" s="282">
        <f t="shared" si="111"/>
        <v>73553.217425922907</v>
      </c>
      <c r="BC24" s="74"/>
      <c r="BD24" s="73">
        <f>SUM(BD18*M24)</f>
        <v>55265.69133607253</v>
      </c>
      <c r="BE24" s="73">
        <f>SUM(BE18*M24)</f>
        <v>64131.094096648791</v>
      </c>
      <c r="BF24" s="73">
        <f>SUM(BF18*M24)</f>
        <v>73280.115814423028</v>
      </c>
      <c r="BG24" s="282">
        <f t="shared" si="112"/>
        <v>192676.90124714433</v>
      </c>
      <c r="BH24" s="74"/>
      <c r="BI24" s="73">
        <f>SUM(BI18*N24)</f>
        <v>123351.79099334363</v>
      </c>
      <c r="BJ24" s="73">
        <f>SUM(BJ18*N24)</f>
        <v>144837.75331168753</v>
      </c>
      <c r="BK24" s="73">
        <f>SUM(BK18*N24)</f>
        <v>167075.46189553896</v>
      </c>
      <c r="BL24" s="282">
        <f t="shared" si="113"/>
        <v>435265.00620057015</v>
      </c>
      <c r="BM24" s="74"/>
      <c r="BN24" s="73">
        <f>SUM(BN18*P24)</f>
        <v>261352.75786626243</v>
      </c>
      <c r="BO24" s="73">
        <f>SUM(BO18*P24)</f>
        <v>309661.9236146934</v>
      </c>
      <c r="BP24" s="73">
        <f>SUM(BP18*P24)</f>
        <v>359805.94597771991</v>
      </c>
      <c r="BQ24" s="282">
        <f t="shared" si="114"/>
        <v>930820.62745867576</v>
      </c>
      <c r="BR24" s="74"/>
      <c r="BS24" s="73">
        <f>SUM(BS18*Q24)</f>
        <v>541805.97606589762</v>
      </c>
      <c r="BT24" s="73">
        <f>SUM(BT18*Q24)</f>
        <v>648029.98848968931</v>
      </c>
      <c r="BU24" s="73">
        <f>SUM(BU18*Q24)</f>
        <v>758606.15613148885</v>
      </c>
      <c r="BV24" s="282">
        <f t="shared" si="115"/>
        <v>1948442.1206870759</v>
      </c>
      <c r="BW24" s="74"/>
      <c r="BX24" s="73">
        <f>SUM(BX18*R24)</f>
        <v>1126061.4601384564</v>
      </c>
      <c r="BY24" s="73">
        <f>SUM(BY18*R24)</f>
        <v>1365677.214544659</v>
      </c>
      <c r="BZ24" s="73">
        <f>SUM(BZ18*R24)</f>
        <v>1615825.265871603</v>
      </c>
      <c r="CA24" s="282">
        <f t="shared" si="116"/>
        <v>4107563.9405547185</v>
      </c>
      <c r="CB24" s="74"/>
      <c r="CC24" s="73">
        <f>SUM(CC18*S24)</f>
        <v>2375110.3399748597</v>
      </c>
      <c r="CD24" s="73">
        <f>SUM(CD18*S24)</f>
        <v>2909771.9876932888</v>
      </c>
      <c r="CE24" s="73">
        <f>SUM(CE18*S24)</f>
        <v>3469523.3026687829</v>
      </c>
      <c r="CF24" s="282">
        <f t="shared" si="117"/>
        <v>8754405.6303369328</v>
      </c>
      <c r="CG24" s="88"/>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57" t="s">
        <v>195</v>
      </c>
      <c r="B25" s="367">
        <v>0.1</v>
      </c>
      <c r="C25" s="374">
        <v>0.05</v>
      </c>
      <c r="D25" s="121"/>
      <c r="E25" s="120"/>
      <c r="F25" s="129">
        <v>0</v>
      </c>
      <c r="G25" s="128">
        <v>0</v>
      </c>
      <c r="H25" s="360">
        <v>0</v>
      </c>
      <c r="I25" s="360">
        <v>0</v>
      </c>
      <c r="J25" s="282">
        <f t="shared" si="133"/>
        <v>0</v>
      </c>
      <c r="K25" s="33">
        <f>SUM(IF((0*(IF(ISBLANK(E25),C25,E25)))+IF(ISBLANK(D25),B25,D25) &lt; 0, 0, (0*(IF(ISBLANK(E25),C25,E25)))+IF(ISBLANK(D25),B25,D25)))</f>
        <v>0.1</v>
      </c>
      <c r="L25" s="33">
        <f>SUM(IF((1*(IF(ISBLANK(E25),C25,E25)))+IF(ISBLANK(D25),B25,D25) &lt; 0, 0, (1*(IF(ISBLANK(E25),C25,E25)))+IF(ISBLANK(D25),B25,D25)))</f>
        <v>0.15000000000000002</v>
      </c>
      <c r="M25" s="33">
        <f>SUM(IF((2*(IF(ISBLANK(E25),C25,E25)))+IF(ISBLANK(D25),B25,D25) &lt; 0, 0, (2*(IF(ISBLANK(E25),C25,E25)))+IF(ISBLANK(D25),B25,D25)))</f>
        <v>0.2</v>
      </c>
      <c r="N25" s="33">
        <f>SUM(IF((3*(IF(ISBLANK(E25),C25,E25)))+IF(ISBLANK(D25),B25,D25) &lt; 0, 0, (3*(IF(ISBLANK(E25),C25,E25)))+IF(ISBLANK(D25),B25,D25)))</f>
        <v>0.25</v>
      </c>
      <c r="O25" s="282">
        <f t="shared" si="124"/>
        <v>569051.81226663711</v>
      </c>
      <c r="P25" s="33">
        <f>SUM(IF((4*(IF(ISBLANK(E25),C25,E25)))+IF(ISBLANK(D25),B25,D25) &lt; 0, 0, (4*(IF(ISBLANK(E25),C25,E25)))+IF(ISBLANK(D25),B25,D25)))</f>
        <v>0.30000000000000004</v>
      </c>
      <c r="Q25" s="33">
        <f>SUM(IF((5*(IF(ISBLANK(E25),C25,E25)))+IF(ISBLANK(D25),B25,D25) &lt; 0, 0, (5*(IF(ISBLANK(E25),C25,E25)))+IF(ISBLANK(D25),B25,D25)))</f>
        <v>0.35</v>
      </c>
      <c r="R25" s="33">
        <f>SUM(IF((6*(IF(ISBLANK(E25),C25,E25)))+IF(ISBLANK(D25),B25,D25) &lt; 0, 0, (6*(IF(ISBLANK(E25),C25,E25)))+IF(ISBLANK(D25),B25,D25)))</f>
        <v>0.4</v>
      </c>
      <c r="S25" s="33">
        <f>SUM(IF((7*(IF(ISBLANK(E25),C25,E25)))+IF(ISBLANK(D25),B25,D25) &lt; 0, 0, (7*(IF(ISBLANK(E25),C25,E25)))+IF(ISBLANK(D25),B25,D25)))</f>
        <v>0.45000000000000007</v>
      </c>
      <c r="T25" s="305">
        <f t="shared" si="129"/>
        <v>9640839.8320650924</v>
      </c>
      <c r="U25" s="278">
        <f>SUM(IF((9*(IF(ISBLANK(E25),C25,E25)))+IF(ISBLANK(D25),B25,D25) &lt; 0, 0, (9*(IF(ISBLANK(E25),C25,E25)))+IF(ISBLANK(D25),B25,D25)))*12</f>
        <v>6.6000000000000005</v>
      </c>
      <c r="V25" s="279">
        <f>SUM(IF((11*(IF(ISBLANK(E25),C25,E25)))+IF(ISBLANK(D25),B25,D25) &lt; 0, 0, (11*(IF(ISBLANK(E25),C25,E25)))+IF(ISBLANK(D25),B25,D25)))*12</f>
        <v>7.8000000000000007</v>
      </c>
      <c r="W25" s="280">
        <f>SUM(IF((13*(IF(ISBLANK(E25),C25,E25)))+IF(ISBLANK(D25),B25,D25) &lt; 0, 0, (13*(IF(ISBLANK(E25),C25,E25)))+IF(ISBLANK(D25),B25,D25)))*12</f>
        <v>9</v>
      </c>
      <c r="X25" s="177"/>
      <c r="Y25" s="505">
        <v>0</v>
      </c>
      <c r="Z25" s="73">
        <f>SUM(Z18*F25)</f>
        <v>0</v>
      </c>
      <c r="AA25" s="73">
        <f>SUM(AA18*F25)</f>
        <v>0</v>
      </c>
      <c r="AB25" s="73">
        <f>SUM(AB18*F25)</f>
        <v>0</v>
      </c>
      <c r="AC25" s="282">
        <f t="shared" si="106"/>
        <v>0</v>
      </c>
      <c r="AD25" s="74"/>
      <c r="AE25" s="73">
        <f>SUM(AE18*G25)</f>
        <v>0</v>
      </c>
      <c r="AF25" s="73">
        <f>SUM(AF18*G25)</f>
        <v>0</v>
      </c>
      <c r="AG25" s="73">
        <f>SUM(AG18*G25)</f>
        <v>0</v>
      </c>
      <c r="AH25" s="282">
        <f t="shared" si="107"/>
        <v>0</v>
      </c>
      <c r="AI25" s="74"/>
      <c r="AJ25" s="73">
        <f t="shared" si="130"/>
        <v>0</v>
      </c>
      <c r="AK25" s="73">
        <f t="shared" si="131"/>
        <v>0</v>
      </c>
      <c r="AL25" s="73">
        <f t="shared" si="132"/>
        <v>0</v>
      </c>
      <c r="AM25" s="282">
        <f t="shared" si="108"/>
        <v>0</v>
      </c>
      <c r="AN25" s="74"/>
      <c r="AO25" s="73">
        <f>SUM(AO18*I25)</f>
        <v>0</v>
      </c>
      <c r="AP25" s="73">
        <f>SUM(AP18*I25)</f>
        <v>0</v>
      </c>
      <c r="AQ25" s="73">
        <f>SUM(AQ18*I25)</f>
        <v>0</v>
      </c>
      <c r="AR25" s="282">
        <f t="shared" si="109"/>
        <v>0</v>
      </c>
      <c r="AS25" s="74"/>
      <c r="AT25" s="73">
        <f>SUM(AT18*K25)</f>
        <v>8483.3292363622513</v>
      </c>
      <c r="AU25" s="73">
        <f>SUM(AU18*K25)</f>
        <v>10118.465613087201</v>
      </c>
      <c r="AV25" s="73">
        <f>SUM(AV18*K25)</f>
        <v>11851.703135999138</v>
      </c>
      <c r="AW25" s="282">
        <f t="shared" si="110"/>
        <v>30453.49798544859</v>
      </c>
      <c r="AX25" s="74"/>
      <c r="AY25" s="73">
        <f>SUM(AY18*L25)</f>
        <v>21070.160364298565</v>
      </c>
      <c r="AZ25" s="73">
        <f>SUM(AZ18*L25)</f>
        <v>24477.987841293121</v>
      </c>
      <c r="BA25" s="73">
        <f>SUM(BA18*L25)</f>
        <v>28005.069220331221</v>
      </c>
      <c r="BB25" s="282">
        <f t="shared" si="111"/>
        <v>73553.217425922907</v>
      </c>
      <c r="BC25" s="74"/>
      <c r="BD25" s="73">
        <f>SUM(BD18*M25)</f>
        <v>44212.553068858026</v>
      </c>
      <c r="BE25" s="73">
        <f>SUM(BE18*M25)</f>
        <v>51304.875277319035</v>
      </c>
      <c r="BF25" s="73">
        <f>SUM(BF18*M25)</f>
        <v>58624.092651538427</v>
      </c>
      <c r="BG25" s="282">
        <f t="shared" si="112"/>
        <v>154141.5209977155</v>
      </c>
      <c r="BH25" s="74"/>
      <c r="BI25" s="73">
        <f>SUM(BI18*N25)</f>
        <v>88108.422138102585</v>
      </c>
      <c r="BJ25" s="73">
        <f>SUM(BJ18*N25)</f>
        <v>103455.5380797768</v>
      </c>
      <c r="BK25" s="73">
        <f>SUM(BK18*N25)</f>
        <v>119339.61563967068</v>
      </c>
      <c r="BL25" s="282">
        <f t="shared" si="113"/>
        <v>310903.57585755008</v>
      </c>
      <c r="BM25" s="74"/>
      <c r="BN25" s="73">
        <f>SUM(BN18*P25)</f>
        <v>174235.17191084163</v>
      </c>
      <c r="BO25" s="73">
        <f>SUM(BO18*P25)</f>
        <v>206441.28240979562</v>
      </c>
      <c r="BP25" s="73">
        <f>SUM(BP18*P25)</f>
        <v>239870.63065181329</v>
      </c>
      <c r="BQ25" s="282">
        <f t="shared" si="114"/>
        <v>620547.08497245051</v>
      </c>
      <c r="BR25" s="74"/>
      <c r="BS25" s="73">
        <f>SUM(BS18*Q25)</f>
        <v>344785.62113284389</v>
      </c>
      <c r="BT25" s="73">
        <f>SUM(BT18*Q25)</f>
        <v>412382.71994798403</v>
      </c>
      <c r="BU25" s="73">
        <f>SUM(BU18*Q25)</f>
        <v>482749.37208367459</v>
      </c>
      <c r="BV25" s="282">
        <f t="shared" si="115"/>
        <v>1239917.7131645025</v>
      </c>
      <c r="BW25" s="74"/>
      <c r="BX25" s="73">
        <f>SUM(BX18*R25)</f>
        <v>692960.89854674228</v>
      </c>
      <c r="BY25" s="73">
        <f>SUM(BY18*R25)</f>
        <v>840416.74741209764</v>
      </c>
      <c r="BZ25" s="73">
        <f>SUM(BZ18*R25)</f>
        <v>994354.00976714015</v>
      </c>
      <c r="CA25" s="282">
        <f t="shared" si="116"/>
        <v>2527731.6557259802</v>
      </c>
      <c r="CB25" s="74"/>
      <c r="CC25" s="73">
        <f>SUM(CC18*S25)</f>
        <v>1425066.203984916</v>
      </c>
      <c r="CD25" s="73">
        <f>SUM(CD18*S25)</f>
        <v>1745863.1926159733</v>
      </c>
      <c r="CE25" s="73">
        <f>SUM(CE18*S25)</f>
        <v>2081713.9816012697</v>
      </c>
      <c r="CF25" s="282">
        <f t="shared" si="117"/>
        <v>5252643.378202159</v>
      </c>
      <c r="CG25" s="88"/>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57" t="s">
        <v>196</v>
      </c>
      <c r="B26" s="278">
        <v>0.01</v>
      </c>
      <c r="C26" s="304">
        <v>0.02</v>
      </c>
      <c r="D26" s="121"/>
      <c r="E26" s="120"/>
      <c r="F26" s="129">
        <v>0</v>
      </c>
      <c r="G26" s="128">
        <v>0</v>
      </c>
      <c r="H26" s="360">
        <v>0</v>
      </c>
      <c r="I26" s="360">
        <v>0</v>
      </c>
      <c r="J26" s="282">
        <f t="shared" si="133"/>
        <v>0</v>
      </c>
      <c r="K26" s="33">
        <f>SUM(IF((0*(IF(ISBLANK(E26),C26,E26)))+IF(ISBLANK(D26),B26,D26) &lt; 0, 0, (0*(IF(ISBLANK(E26),C26,E26)))+IF(ISBLANK(D26),B26,D26)))</f>
        <v>0.01</v>
      </c>
      <c r="L26" s="33">
        <f>SUM(IF((1*(IF(ISBLANK(E26),C26,E26)))+IF(ISBLANK(D26),B26,D26) &lt; 0, 0, (1*(IF(ISBLANK(E26),C26,E26)))+IF(ISBLANK(D26),B26,D26)))</f>
        <v>0.03</v>
      </c>
      <c r="M26" s="33">
        <f>SUM(IF((2*(IF(ISBLANK(E26),C26,E26)))+IF(ISBLANK(D26),B26,D26) &lt; 0, 0, (2*(IF(ISBLANK(E26),C26,E26)))+IF(ISBLANK(D26),B26,D26)))</f>
        <v>0.05</v>
      </c>
      <c r="N26" s="33">
        <f>SUM(IF((3*(IF(ISBLANK(E26),C26,E26)))+IF(ISBLANK(D26),B26,D26) &lt; 0, 0, (3*(IF(ISBLANK(E26),C26,E26)))+IF(ISBLANK(D26),B26,D26)))</f>
        <v>6.9999999999999993E-2</v>
      </c>
      <c r="O26" s="282">
        <f t="shared" si="124"/>
        <v>143344.37477327231</v>
      </c>
      <c r="P26" s="33">
        <f>SUM(IF((4*(IF(ISBLANK(E26),C26,E26)))+IF(ISBLANK(D26),B26,D26) &lt; 0, 0, (4*(IF(ISBLANK(E26),C26,E26)))+IF(ISBLANK(D26),B26,D26)))</f>
        <v>0.09</v>
      </c>
      <c r="Q26" s="33">
        <f>SUM(IF((5*(IF(ISBLANK(E26),C26,E26)))+IF(ISBLANK(D26),B26,D26) &lt; 0, 0, (5*(IF(ISBLANK(E26),C26,E26)))+IF(ISBLANK(D26),B26,D26)))</f>
        <v>0.11</v>
      </c>
      <c r="R26" s="33">
        <f>SUM(IF((6*(IF(ISBLANK(E26),C26,E26)))+IF(ISBLANK(D26),B26,D26) &lt; 0, 0, (6*(IF(ISBLANK(E26),C26,E26)))+IF(ISBLANK(D26),B26,D26)))</f>
        <v>0.13</v>
      </c>
      <c r="S26" s="33">
        <f>SUM(IF((7*(IF(ISBLANK(E26),C26,E26)))+IF(ISBLANK(D26),B26,D26) &lt; 0, 0, (7*(IF(ISBLANK(E26),C26,E26)))+IF(ISBLANK(D26),B26,D26)))</f>
        <v>0.15000000000000002</v>
      </c>
      <c r="T26" s="305">
        <f t="shared" si="129"/>
        <v>3148246.4638074804</v>
      </c>
      <c r="U26" s="278">
        <f>SUM(IF((9*(IF(ISBLANK(E26),C26,E26)))+IF(ISBLANK(D26),B26,D26) &lt; 0, 0, (9*(IF(ISBLANK(E26),C26,E26)))+IF(ISBLANK(D26),B26,D26)))*12</f>
        <v>2.2800000000000002</v>
      </c>
      <c r="V26" s="279">
        <f>SUM(IF((11*(IF(ISBLANK(E26),C26,E26)))+IF(ISBLANK(D26),B26,D26) &lt; 0, 0, (11*(IF(ISBLANK(E26),C26,E26)))+IF(ISBLANK(D26),B26,D26)))*12</f>
        <v>2.7600000000000002</v>
      </c>
      <c r="W26" s="280">
        <f>SUM(IF((13*(IF(ISBLANK(E26),C26,E26)))+IF(ISBLANK(D26),B26,D26) &lt; 0, 0, (13*(IF(ISBLANK(E26),C26,E26)))+IF(ISBLANK(D26),B26,D26)))*12</f>
        <v>3.24</v>
      </c>
      <c r="X26" s="177"/>
      <c r="Y26" s="505">
        <v>0</v>
      </c>
      <c r="Z26" s="73">
        <f>SUM(Z18*F26)</f>
        <v>0</v>
      </c>
      <c r="AA26" s="73">
        <f>SUM(AA18*F26)</f>
        <v>0</v>
      </c>
      <c r="AB26" s="73">
        <f>SUM(AB18*F26)</f>
        <v>0</v>
      </c>
      <c r="AC26" s="282">
        <f t="shared" si="106"/>
        <v>0</v>
      </c>
      <c r="AD26" s="74"/>
      <c r="AE26" s="73">
        <f>SUM(AE18*G26)</f>
        <v>0</v>
      </c>
      <c r="AF26" s="73">
        <f>SUM(AF18*G26)</f>
        <v>0</v>
      </c>
      <c r="AG26" s="73">
        <f>SUM(AG18*G26)</f>
        <v>0</v>
      </c>
      <c r="AH26" s="282">
        <f t="shared" si="107"/>
        <v>0</v>
      </c>
      <c r="AI26" s="74"/>
      <c r="AJ26" s="73">
        <f t="shared" si="130"/>
        <v>0</v>
      </c>
      <c r="AK26" s="73">
        <f t="shared" si="131"/>
        <v>0</v>
      </c>
      <c r="AL26" s="73">
        <f t="shared" si="132"/>
        <v>0</v>
      </c>
      <c r="AM26" s="282">
        <f t="shared" si="108"/>
        <v>0</v>
      </c>
      <c r="AN26" s="74"/>
      <c r="AO26" s="73">
        <f>SUM(AO18*I26)</f>
        <v>0</v>
      </c>
      <c r="AP26" s="73">
        <f>SUM(AP18*I26)</f>
        <v>0</v>
      </c>
      <c r="AQ26" s="73">
        <f>SUM(AQ18*I26)</f>
        <v>0</v>
      </c>
      <c r="AR26" s="282">
        <f t="shared" si="109"/>
        <v>0</v>
      </c>
      <c r="AS26" s="74"/>
      <c r="AT26" s="73">
        <f>SUM(AT18*K26)</f>
        <v>848.33292363622502</v>
      </c>
      <c r="AU26" s="73">
        <f>SUM(AU18*K26)</f>
        <v>1011.84656130872</v>
      </c>
      <c r="AV26" s="73">
        <f>SUM(AV18*K26)</f>
        <v>1185.1703135999137</v>
      </c>
      <c r="AW26" s="282">
        <f t="shared" si="110"/>
        <v>3045.3497985448585</v>
      </c>
      <c r="AX26" s="74"/>
      <c r="AY26" s="73">
        <f>SUM(AY18*L26)</f>
        <v>4214.0320728597126</v>
      </c>
      <c r="AZ26" s="73">
        <f>SUM(AZ18*L26)</f>
        <v>4895.5975682586231</v>
      </c>
      <c r="BA26" s="73">
        <f>SUM(BA18*L26)</f>
        <v>5601.0138440662431</v>
      </c>
      <c r="BB26" s="282">
        <f t="shared" si="111"/>
        <v>14710.643485184579</v>
      </c>
      <c r="BC26" s="74"/>
      <c r="BD26" s="73">
        <f>SUM(BD18*M26)</f>
        <v>11053.138267214506</v>
      </c>
      <c r="BE26" s="73">
        <f>SUM(BE18*M26)</f>
        <v>12826.218819329759</v>
      </c>
      <c r="BF26" s="73">
        <f>SUM(BF18*M26)</f>
        <v>14656.023162884607</v>
      </c>
      <c r="BG26" s="282">
        <f t="shared" si="112"/>
        <v>38535.380249428876</v>
      </c>
      <c r="BH26" s="74"/>
      <c r="BI26" s="73">
        <f>SUM(BI18*N26)</f>
        <v>24670.35819866872</v>
      </c>
      <c r="BJ26" s="73">
        <f>SUM(BJ18*N26)</f>
        <v>28967.5506623375</v>
      </c>
      <c r="BK26" s="73">
        <f>SUM(BK18*N26)</f>
        <v>33415.092379107788</v>
      </c>
      <c r="BL26" s="282">
        <f t="shared" si="113"/>
        <v>87053.001240114012</v>
      </c>
      <c r="BM26" s="74"/>
      <c r="BN26" s="73">
        <f>SUM(BN18*P26)</f>
        <v>52270.55157325248</v>
      </c>
      <c r="BO26" s="73">
        <f>SUM(BO18*P26)</f>
        <v>61932.384722938674</v>
      </c>
      <c r="BP26" s="73">
        <f>SUM(BP18*P26)</f>
        <v>71961.189195543979</v>
      </c>
      <c r="BQ26" s="282">
        <f t="shared" si="114"/>
        <v>186164.12549173512</v>
      </c>
      <c r="BR26" s="74"/>
      <c r="BS26" s="73">
        <f>SUM(BS18*Q26)</f>
        <v>108361.19521317953</v>
      </c>
      <c r="BT26" s="73">
        <f>SUM(BT18*Q26)</f>
        <v>129605.99769793786</v>
      </c>
      <c r="BU26" s="73">
        <f>SUM(BU18*Q26)</f>
        <v>151721.23122629774</v>
      </c>
      <c r="BV26" s="282">
        <f t="shared" si="115"/>
        <v>389688.42413741513</v>
      </c>
      <c r="BW26" s="74"/>
      <c r="BX26" s="73">
        <f>SUM(BX18*R26)</f>
        <v>225212.29202769123</v>
      </c>
      <c r="BY26" s="73">
        <f>SUM(BY18*R26)</f>
        <v>273135.44290893176</v>
      </c>
      <c r="BZ26" s="73">
        <f>SUM(BZ18*R26)</f>
        <v>323165.05317432055</v>
      </c>
      <c r="CA26" s="282">
        <f t="shared" si="116"/>
        <v>821512.78811094351</v>
      </c>
      <c r="CB26" s="74"/>
      <c r="CC26" s="73">
        <f>SUM(CC18*S26)</f>
        <v>475022.06799497199</v>
      </c>
      <c r="CD26" s="73">
        <f>SUM(CD18*S26)</f>
        <v>581954.39753865777</v>
      </c>
      <c r="CE26" s="73">
        <f>SUM(CE18*S26)</f>
        <v>693904.6605337566</v>
      </c>
      <c r="CF26" s="282">
        <f t="shared" si="117"/>
        <v>1750881.1260673865</v>
      </c>
      <c r="CG26" s="88"/>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57" t="s">
        <v>197</v>
      </c>
      <c r="B27" s="367">
        <v>0.01</v>
      </c>
      <c r="C27" s="304">
        <v>0</v>
      </c>
      <c r="D27" s="121"/>
      <c r="E27" s="120"/>
      <c r="F27" s="129">
        <v>0</v>
      </c>
      <c r="G27" s="128">
        <v>0</v>
      </c>
      <c r="H27" s="360">
        <v>0</v>
      </c>
      <c r="I27" s="360">
        <v>0</v>
      </c>
      <c r="J27" s="282">
        <f t="shared" si="133"/>
        <v>0</v>
      </c>
      <c r="K27" s="360">
        <v>0</v>
      </c>
      <c r="L27" s="360">
        <v>0</v>
      </c>
      <c r="M27" s="360">
        <v>0</v>
      </c>
      <c r="N27" s="360">
        <v>0</v>
      </c>
      <c r="O27" s="282">
        <f t="shared" si="124"/>
        <v>0</v>
      </c>
      <c r="P27" s="33">
        <f>SUM(IF((0*(IF(ISBLANK(E27),C27,E27)))+IF(ISBLANK(D27),B27,D27) &lt; 0, 0, (0*(IF(ISBLANK(E27),C27,E27)))+IF(ISBLANK(D27),B27,D27)))</f>
        <v>0.01</v>
      </c>
      <c r="Q27" s="33">
        <f>SUM(IF((1*(IF(ISBLANK(E27),C27,E27)))+IF(ISBLANK(D27),B27,D27) &lt; 0, 0, (1*(IF(ISBLANK(E27),C27,E27)))+IF(ISBLANK(D27),B27,D27)))</f>
        <v>0.01</v>
      </c>
      <c r="R27" s="33">
        <f>SUM(IF((2*(IF(ISBLANK(E27),C27,E27)))+IF(ISBLANK(D27),B27,D27) &lt; 0, 0, (2*(IF(ISBLANK(E27),C27,E27)))+IF(ISBLANK(D27),B27,D27)))</f>
        <v>0.01</v>
      </c>
      <c r="S27" s="33">
        <f>SUM(IF((3*(IF(ISBLANK(E27),C27,E27)))+IF(ISBLANK(D27),B27,D27) &lt; 0, 0, (3*(IF(ISBLANK(E27),C27,E27)))+IF(ISBLANK(D27),B27,D27)))</f>
        <v>0.01</v>
      </c>
      <c r="T27" s="305">
        <f t="shared" si="129"/>
        <v>236029.82300618556</v>
      </c>
      <c r="U27" s="278">
        <f>SUM(IF((5*(IF(ISBLANK(E27),C27,E27)))+IF(ISBLANK(D27),B27,D27) &lt; 0, 0, (5*(IF(ISBLANK(E27),C27,E27)))+IF(ISBLANK(D27),B27,D27)))*12</f>
        <v>0.12</v>
      </c>
      <c r="V27" s="279">
        <f>SUM(IF((7*(IF(ISBLANK(E27),C27,E27)))+IF(ISBLANK(D27),B27,D27) &lt; 0, 0, (7*(IF(ISBLANK(E27),C27,E27)))+IF(ISBLANK(D27),B27,D27)))*12</f>
        <v>0.12</v>
      </c>
      <c r="W27" s="280">
        <f>SUM(IF((9*(IF(ISBLANK(E27),C27,E27)))+IF(ISBLANK(D27),B27,D27) &lt; 0, 0, (9*(IF(ISBLANK(E27),C27,E27)))+IF(ISBLANK(D27),B27,D27)))*12</f>
        <v>0.12</v>
      </c>
      <c r="X27" s="177"/>
      <c r="Y27" s="505">
        <v>0</v>
      </c>
      <c r="Z27" s="73">
        <f>SUM(Z18*F27)</f>
        <v>0</v>
      </c>
      <c r="AA27" s="73">
        <f>SUM(AA18*F27)</f>
        <v>0</v>
      </c>
      <c r="AB27" s="73">
        <f>SUM(AB18*F27)</f>
        <v>0</v>
      </c>
      <c r="AC27" s="282">
        <f t="shared" si="106"/>
        <v>0</v>
      </c>
      <c r="AD27" s="74"/>
      <c r="AE27" s="73">
        <f>SUM(AE18*G27)</f>
        <v>0</v>
      </c>
      <c r="AF27" s="73">
        <f>SUM(AF18*G27)</f>
        <v>0</v>
      </c>
      <c r="AG27" s="73">
        <f>SUM(AG18*G27)</f>
        <v>0</v>
      </c>
      <c r="AH27" s="282">
        <f t="shared" si="107"/>
        <v>0</v>
      </c>
      <c r="AI27" s="74"/>
      <c r="AJ27" s="73">
        <f t="shared" si="130"/>
        <v>0</v>
      </c>
      <c r="AK27" s="73">
        <f t="shared" si="131"/>
        <v>0</v>
      </c>
      <c r="AL27" s="73">
        <f t="shared" si="132"/>
        <v>0</v>
      </c>
      <c r="AM27" s="282">
        <f t="shared" si="108"/>
        <v>0</v>
      </c>
      <c r="AN27" s="74"/>
      <c r="AO27" s="73">
        <f>SUM(AO18*I27)</f>
        <v>0</v>
      </c>
      <c r="AP27" s="73">
        <f>SUM(AP18*I27)</f>
        <v>0</v>
      </c>
      <c r="AQ27" s="73">
        <f>SUM(AQ18*I27)</f>
        <v>0</v>
      </c>
      <c r="AR27" s="282">
        <f t="shared" si="109"/>
        <v>0</v>
      </c>
      <c r="AS27" s="74"/>
      <c r="AT27" s="73">
        <f>SUM(AT18*K27)</f>
        <v>0</v>
      </c>
      <c r="AU27" s="73">
        <f>SUM(AU18*K27)</f>
        <v>0</v>
      </c>
      <c r="AV27" s="73">
        <f>SUM(AV18*K27)</f>
        <v>0</v>
      </c>
      <c r="AW27" s="282">
        <f t="shared" si="110"/>
        <v>0</v>
      </c>
      <c r="AX27" s="74"/>
      <c r="AY27" s="73">
        <f>SUM(AY18*L27)</f>
        <v>0</v>
      </c>
      <c r="AZ27" s="73">
        <f>SUM(AZ18*L27)</f>
        <v>0</v>
      </c>
      <c r="BA27" s="73">
        <f>SUM(BA18*L27)</f>
        <v>0</v>
      </c>
      <c r="BB27" s="282">
        <f t="shared" si="111"/>
        <v>0</v>
      </c>
      <c r="BC27" s="74"/>
      <c r="BD27" s="73">
        <f>SUM(BD18*M27)</f>
        <v>0</v>
      </c>
      <c r="BE27" s="73">
        <f>SUM(BE18*M27)</f>
        <v>0</v>
      </c>
      <c r="BF27" s="73">
        <f>SUM(BF18*M27)</f>
        <v>0</v>
      </c>
      <c r="BG27" s="282">
        <f t="shared" si="112"/>
        <v>0</v>
      </c>
      <c r="BH27" s="74"/>
      <c r="BI27" s="73">
        <f>SUM(BI18*N27)</f>
        <v>0</v>
      </c>
      <c r="BJ27" s="73">
        <f>SUM(BJ18*N27)</f>
        <v>0</v>
      </c>
      <c r="BK27" s="73">
        <f>SUM(BK18*N27)</f>
        <v>0</v>
      </c>
      <c r="BL27" s="282">
        <f t="shared" si="113"/>
        <v>0</v>
      </c>
      <c r="BM27" s="74"/>
      <c r="BN27" s="73">
        <f>SUM(BN18*P27)</f>
        <v>5807.8390636947206</v>
      </c>
      <c r="BO27" s="73">
        <f>SUM(BO18*P27)</f>
        <v>6881.3760803265195</v>
      </c>
      <c r="BP27" s="73">
        <f>SUM(BP18*P27)</f>
        <v>7995.6876883937757</v>
      </c>
      <c r="BQ27" s="282">
        <f t="shared" si="114"/>
        <v>20684.902832415017</v>
      </c>
      <c r="BR27" s="74"/>
      <c r="BS27" s="73">
        <f>SUM(BS18*Q27)</f>
        <v>9851.0177466526839</v>
      </c>
      <c r="BT27" s="73">
        <f>SUM(BT18*Q27)</f>
        <v>11782.36342708526</v>
      </c>
      <c r="BU27" s="73">
        <f>SUM(BU18*Q27)</f>
        <v>13792.839202390705</v>
      </c>
      <c r="BV27" s="282">
        <f t="shared" si="115"/>
        <v>35426.220376128651</v>
      </c>
      <c r="BW27" s="74"/>
      <c r="BX27" s="73">
        <f>SUM(BX18*R27)</f>
        <v>17324.022463668556</v>
      </c>
      <c r="BY27" s="73">
        <f>SUM(BY18*R27)</f>
        <v>21010.41868530244</v>
      </c>
      <c r="BZ27" s="73">
        <f>SUM(BZ18*R27)</f>
        <v>24858.850244178502</v>
      </c>
      <c r="CA27" s="282">
        <f t="shared" si="116"/>
        <v>63193.291393149499</v>
      </c>
      <c r="CB27" s="74"/>
      <c r="CC27" s="73">
        <f>SUM(CC18*S27)</f>
        <v>31668.137866331461</v>
      </c>
      <c r="CD27" s="73">
        <f>SUM(CD18*S27)</f>
        <v>38796.959835910515</v>
      </c>
      <c r="CE27" s="73">
        <f>SUM(CE18*S27)</f>
        <v>46260.310702250434</v>
      </c>
      <c r="CF27" s="282">
        <f t="shared" si="117"/>
        <v>116725.40840449239</v>
      </c>
      <c r="CG27" s="88"/>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57" t="s">
        <v>198</v>
      </c>
      <c r="B28" s="367">
        <v>0.05</v>
      </c>
      <c r="C28" s="374">
        <v>7.0000000000000007E-2</v>
      </c>
      <c r="D28" s="121"/>
      <c r="E28" s="120"/>
      <c r="F28" s="129">
        <v>0</v>
      </c>
      <c r="G28" s="128">
        <v>0</v>
      </c>
      <c r="H28" s="360">
        <v>0</v>
      </c>
      <c r="I28" s="360">
        <v>0</v>
      </c>
      <c r="J28" s="282">
        <f t="shared" si="133"/>
        <v>0</v>
      </c>
      <c r="K28" s="360">
        <v>0</v>
      </c>
      <c r="L28" s="360">
        <v>0</v>
      </c>
      <c r="M28" s="360">
        <v>0</v>
      </c>
      <c r="N28" s="360">
        <v>0</v>
      </c>
      <c r="O28" s="282">
        <f t="shared" si="124"/>
        <v>0</v>
      </c>
      <c r="P28" s="33">
        <f>SUM(IF((1*(IF(ISBLANK(E28),C28,E28)))+IF(ISBLANK(D28),B28,D28) &lt; 0, 0, (1*(IF(ISBLANK(E28),C28,E28)))+IF(ISBLANK(D28),B28,D28)))</f>
        <v>0.12000000000000001</v>
      </c>
      <c r="Q28" s="33">
        <f>SUM(IF((2*(IF(ISBLANK(E28),C28,E28)))+IF(ISBLANK(D28),B28,D28) &lt; 0, 0, (2*(IF(ISBLANK(E28),C28,E28)))+IF(ISBLANK(D28),B28,D28)))</f>
        <v>0.19</v>
      </c>
      <c r="R28" s="33">
        <f>SUM(IF((3*(IF(ISBLANK(E28),C28,E28)))+IF(ISBLANK(D28),B28,D28) &lt; 0, 0, (3*(IF(ISBLANK(E28),C28,E28)))+IF(ISBLANK(D28),B28,D28)))</f>
        <v>0.26</v>
      </c>
      <c r="S28" s="33">
        <f>SUM(IF((4*(IF(ISBLANK(E28),C28,E28)))+IF(ISBLANK(D28),B28,D28) &lt; 0, 0, (4*(IF(ISBLANK(E28),C28,E28)))+IF(ISBLANK(D28),B28,D28)))</f>
        <v>0.33</v>
      </c>
      <c r="T28" s="305">
        <f t="shared" si="129"/>
        <v>6416281.0747055616</v>
      </c>
      <c r="U28" s="278">
        <f>SUM(IF((6*(IF(ISBLANK(E28),C28,E28)))+IF(ISBLANK(D28),B28,D28) &lt; 0, 0, (6*(IF(ISBLANK(E28),C28,E28)))+IF(ISBLANK(D28),B28,D28)))*12</f>
        <v>5.6400000000000006</v>
      </c>
      <c r="V28" s="279">
        <f>SUM(IF((8*(IF(ISBLANK(E28),C28,E28)))+IF(ISBLANK(D28),B28,D28) &lt; 0, 0, (8*(IF(ISBLANK(E28),C28,E28)))+IF(ISBLANK(D28),B28,D28)))*12</f>
        <v>7.3200000000000012</v>
      </c>
      <c r="W28" s="280">
        <f>SUM(IF((10*(IF(ISBLANK(E28),C28,E28)))+IF(ISBLANK(D28),B28,D28) &lt; 0, 0, (10*(IF(ISBLANK(E28),C28,E28)))+IF(ISBLANK(D28),B28,D28)))*12</f>
        <v>9.0000000000000018</v>
      </c>
      <c r="X28" s="177"/>
      <c r="Y28" s="505">
        <v>0</v>
      </c>
      <c r="Z28" s="73">
        <f>SUM(Z18*F28)</f>
        <v>0</v>
      </c>
      <c r="AA28" s="73">
        <f>SUM(AA18*F28)</f>
        <v>0</v>
      </c>
      <c r="AB28" s="73">
        <f>SUM(AB18*F28)</f>
        <v>0</v>
      </c>
      <c r="AC28" s="282">
        <f t="shared" si="106"/>
        <v>0</v>
      </c>
      <c r="AD28" s="74"/>
      <c r="AE28" s="73">
        <f>SUM(AE18*G28)</f>
        <v>0</v>
      </c>
      <c r="AF28" s="73">
        <f>SUM(AF18*G28)</f>
        <v>0</v>
      </c>
      <c r="AG28" s="73">
        <f>SUM(AG18*G28)</f>
        <v>0</v>
      </c>
      <c r="AH28" s="282">
        <f t="shared" si="107"/>
        <v>0</v>
      </c>
      <c r="AI28" s="74"/>
      <c r="AJ28" s="73">
        <f t="shared" si="130"/>
        <v>0</v>
      </c>
      <c r="AK28" s="73">
        <f t="shared" si="131"/>
        <v>0</v>
      </c>
      <c r="AL28" s="73">
        <f t="shared" si="132"/>
        <v>0</v>
      </c>
      <c r="AM28" s="282">
        <f t="shared" si="108"/>
        <v>0</v>
      </c>
      <c r="AN28" s="74"/>
      <c r="AO28" s="73">
        <f>SUM(AO18*I28)</f>
        <v>0</v>
      </c>
      <c r="AP28" s="73">
        <f>SUM(AP18*I28)</f>
        <v>0</v>
      </c>
      <c r="AQ28" s="73">
        <f>SUM(AQ18*I28)</f>
        <v>0</v>
      </c>
      <c r="AR28" s="282">
        <f t="shared" si="109"/>
        <v>0</v>
      </c>
      <c r="AS28" s="74"/>
      <c r="AT28" s="73">
        <f>SUM(AT18*K28)</f>
        <v>0</v>
      </c>
      <c r="AU28" s="73">
        <f>SUM(AU18*K28)</f>
        <v>0</v>
      </c>
      <c r="AV28" s="73">
        <f>SUM(AV18*K28)</f>
        <v>0</v>
      </c>
      <c r="AW28" s="282">
        <f t="shared" si="110"/>
        <v>0</v>
      </c>
      <c r="AX28" s="74"/>
      <c r="AY28" s="73">
        <f>SUM(AY18*L28)</f>
        <v>0</v>
      </c>
      <c r="AZ28" s="73">
        <f>SUM(AZ18*L28)</f>
        <v>0</v>
      </c>
      <c r="BA28" s="73">
        <f>SUM(BA18*L28)</f>
        <v>0</v>
      </c>
      <c r="BB28" s="282">
        <f t="shared" si="111"/>
        <v>0</v>
      </c>
      <c r="BC28" s="74"/>
      <c r="BD28" s="73">
        <f>SUM(BD18*M28)</f>
        <v>0</v>
      </c>
      <c r="BE28" s="73">
        <f>SUM(BE18*M28)</f>
        <v>0</v>
      </c>
      <c r="BF28" s="73">
        <f>SUM(BF18*M28)</f>
        <v>0</v>
      </c>
      <c r="BG28" s="282">
        <f t="shared" si="112"/>
        <v>0</v>
      </c>
      <c r="BH28" s="74"/>
      <c r="BI28" s="73">
        <f>SUM(BI18*N28)</f>
        <v>0</v>
      </c>
      <c r="BJ28" s="73">
        <f>SUM(BJ18*N28)</f>
        <v>0</v>
      </c>
      <c r="BK28" s="73">
        <f>SUM(BK18*N28)</f>
        <v>0</v>
      </c>
      <c r="BL28" s="282">
        <f t="shared" si="113"/>
        <v>0</v>
      </c>
      <c r="BM28" s="74"/>
      <c r="BN28" s="73">
        <f>SUM(BN18*P28)</f>
        <v>69694.068764336655</v>
      </c>
      <c r="BO28" s="73">
        <f>SUM(BO18*P28)</f>
        <v>82576.512963918241</v>
      </c>
      <c r="BP28" s="73">
        <f>SUM(BP18*P28)</f>
        <v>95948.25226072532</v>
      </c>
      <c r="BQ28" s="282">
        <f t="shared" si="114"/>
        <v>248218.83398898022</v>
      </c>
      <c r="BR28" s="74"/>
      <c r="BS28" s="73">
        <f>SUM(BS18*Q28)</f>
        <v>187169.33718640098</v>
      </c>
      <c r="BT28" s="73">
        <f>SUM(BT18*Q28)</f>
        <v>223864.90511461993</v>
      </c>
      <c r="BU28" s="73">
        <f>SUM(BU18*Q28)</f>
        <v>262063.94484542339</v>
      </c>
      <c r="BV28" s="282">
        <f t="shared" si="115"/>
        <v>673098.18714644434</v>
      </c>
      <c r="BW28" s="74"/>
      <c r="BX28" s="73">
        <f>SUM(BX18*R28)</f>
        <v>450424.58405538247</v>
      </c>
      <c r="BY28" s="73">
        <f>SUM(BY18*R28)</f>
        <v>546270.88581786351</v>
      </c>
      <c r="BZ28" s="73">
        <f>SUM(BZ18*R28)</f>
        <v>646330.1063486411</v>
      </c>
      <c r="CA28" s="282">
        <f t="shared" si="116"/>
        <v>1643025.576221887</v>
      </c>
      <c r="CB28" s="74"/>
      <c r="CC28" s="73">
        <f>SUM(CC18*S28)</f>
        <v>1045048.5495889382</v>
      </c>
      <c r="CD28" s="73">
        <f>SUM(CD18*S28)</f>
        <v>1280299.6745850469</v>
      </c>
      <c r="CE28" s="73">
        <f>SUM(CE18*S28)</f>
        <v>1526590.2531742644</v>
      </c>
      <c r="CF28" s="282">
        <f t="shared" si="117"/>
        <v>3851938.4773482499</v>
      </c>
      <c r="CG28" s="88"/>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58" t="s">
        <v>199</v>
      </c>
      <c r="B29" s="645" t="s">
        <v>209</v>
      </c>
      <c r="C29" s="646"/>
      <c r="D29" s="645" t="s">
        <v>209</v>
      </c>
      <c r="E29" s="646"/>
      <c r="F29" s="130">
        <v>0</v>
      </c>
      <c r="G29" s="131">
        <v>0</v>
      </c>
      <c r="H29" s="131">
        <v>0</v>
      </c>
      <c r="I29" s="131">
        <v>0</v>
      </c>
      <c r="J29" s="282">
        <f t="shared" si="133"/>
        <v>0</v>
      </c>
      <c r="K29" s="131">
        <v>0</v>
      </c>
      <c r="L29" s="131">
        <v>0</v>
      </c>
      <c r="M29" s="131">
        <v>0</v>
      </c>
      <c r="N29" s="131">
        <v>0</v>
      </c>
      <c r="O29" s="282">
        <f t="shared" si="124"/>
        <v>0</v>
      </c>
      <c r="P29" s="131">
        <v>0</v>
      </c>
      <c r="Q29" s="131">
        <v>0</v>
      </c>
      <c r="R29" s="131">
        <v>0</v>
      </c>
      <c r="S29" s="131">
        <v>0</v>
      </c>
      <c r="T29" s="305">
        <f t="shared" si="129"/>
        <v>0</v>
      </c>
      <c r="U29" s="355">
        <v>0</v>
      </c>
      <c r="V29" s="356">
        <v>0</v>
      </c>
      <c r="W29" s="357">
        <v>0</v>
      </c>
      <c r="X29" s="177"/>
      <c r="Y29" s="505">
        <v>0</v>
      </c>
      <c r="Z29" s="73">
        <f>SUM(F29/3)</f>
        <v>0</v>
      </c>
      <c r="AA29" s="73">
        <f>SUM(F29/3)</f>
        <v>0</v>
      </c>
      <c r="AB29" s="73">
        <f>SUM(F29/3)</f>
        <v>0</v>
      </c>
      <c r="AC29" s="282">
        <f t="shared" si="106"/>
        <v>0</v>
      </c>
      <c r="AD29" s="74"/>
      <c r="AE29" s="73">
        <f>SUM(G29/3)</f>
        <v>0</v>
      </c>
      <c r="AF29" s="73">
        <f>SUM(G29/3)</f>
        <v>0</v>
      </c>
      <c r="AG29" s="73">
        <f>SUM(G29/3)</f>
        <v>0</v>
      </c>
      <c r="AH29" s="282">
        <f t="shared" si="107"/>
        <v>0</v>
      </c>
      <c r="AI29" s="74"/>
      <c r="AJ29" s="73">
        <f>SUM(H29/3)</f>
        <v>0</v>
      </c>
      <c r="AK29" s="73">
        <f>SUM(H29/3)</f>
        <v>0</v>
      </c>
      <c r="AL29" s="73">
        <f>SUM(H29/3)</f>
        <v>0</v>
      </c>
      <c r="AM29" s="282">
        <f t="shared" si="108"/>
        <v>0</v>
      </c>
      <c r="AN29" s="74"/>
      <c r="AO29" s="73">
        <f>SUM(I29/3)</f>
        <v>0</v>
      </c>
      <c r="AP29" s="73">
        <f>SUM(I29/3)</f>
        <v>0</v>
      </c>
      <c r="AQ29" s="73">
        <f>SUM(I29/3)</f>
        <v>0</v>
      </c>
      <c r="AR29" s="282">
        <f t="shared" si="109"/>
        <v>0</v>
      </c>
      <c r="AS29" s="74"/>
      <c r="AT29" s="73">
        <f>SUM(K29/3)</f>
        <v>0</v>
      </c>
      <c r="AU29" s="73">
        <f>SUM(K29/3)</f>
        <v>0</v>
      </c>
      <c r="AV29" s="73">
        <f>SUM(K29/3)</f>
        <v>0</v>
      </c>
      <c r="AW29" s="282">
        <f t="shared" si="110"/>
        <v>0</v>
      </c>
      <c r="AX29" s="74"/>
      <c r="AY29" s="73">
        <f>SUM(L29/3)</f>
        <v>0</v>
      </c>
      <c r="AZ29" s="73">
        <f>SUM(L29/3)</f>
        <v>0</v>
      </c>
      <c r="BA29" s="73">
        <f>SUM(L29/3)</f>
        <v>0</v>
      </c>
      <c r="BB29" s="282">
        <f t="shared" si="111"/>
        <v>0</v>
      </c>
      <c r="BC29" s="74"/>
      <c r="BD29" s="73">
        <f>SUM(M29/3)</f>
        <v>0</v>
      </c>
      <c r="BE29" s="73">
        <f>SUM(M29/3)</f>
        <v>0</v>
      </c>
      <c r="BF29" s="73">
        <f>SUM(M29/3)</f>
        <v>0</v>
      </c>
      <c r="BG29" s="282">
        <f t="shared" si="112"/>
        <v>0</v>
      </c>
      <c r="BH29" s="74"/>
      <c r="BI29" s="73">
        <f>SUM(N29/3)</f>
        <v>0</v>
      </c>
      <c r="BJ29" s="73">
        <f>SUM(N29/3)</f>
        <v>0</v>
      </c>
      <c r="BK29" s="73">
        <f>SUM(N29/3)</f>
        <v>0</v>
      </c>
      <c r="BL29" s="282">
        <f t="shared" si="113"/>
        <v>0</v>
      </c>
      <c r="BM29" s="74"/>
      <c r="BN29" s="73">
        <f>SUM(P29/3)</f>
        <v>0</v>
      </c>
      <c r="BO29" s="73">
        <f>SUM(P29/3)</f>
        <v>0</v>
      </c>
      <c r="BP29" s="73">
        <f>SUM(P29/3)</f>
        <v>0</v>
      </c>
      <c r="BQ29" s="282">
        <f t="shared" si="114"/>
        <v>0</v>
      </c>
      <c r="BR29" s="74"/>
      <c r="BS29" s="73">
        <f>SUM(Q29/3)</f>
        <v>0</v>
      </c>
      <c r="BT29" s="73">
        <f>SUM(Q29/3)</f>
        <v>0</v>
      </c>
      <c r="BU29" s="73">
        <f>SUM(Q29/3)</f>
        <v>0</v>
      </c>
      <c r="BV29" s="282">
        <f t="shared" si="115"/>
        <v>0</v>
      </c>
      <c r="BW29" s="74"/>
      <c r="BX29" s="73">
        <f>SUM(R29/3)</f>
        <v>0</v>
      </c>
      <c r="BY29" s="73">
        <f>SUM(R29/3)</f>
        <v>0</v>
      </c>
      <c r="BZ29" s="73">
        <f>SUM(R29/3)</f>
        <v>0</v>
      </c>
      <c r="CA29" s="282">
        <f t="shared" si="116"/>
        <v>0</v>
      </c>
      <c r="CB29" s="74"/>
      <c r="CC29" s="73">
        <f>SUM(S29/3)</f>
        <v>0</v>
      </c>
      <c r="CD29" s="73">
        <f>SUM(S29/3)</f>
        <v>0</v>
      </c>
      <c r="CE29" s="73">
        <f>SUM(S29/3)</f>
        <v>0</v>
      </c>
      <c r="CF29" s="282">
        <f t="shared" si="117"/>
        <v>0</v>
      </c>
      <c r="CG29" s="88"/>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59" t="s">
        <v>200</v>
      </c>
      <c r="B30" s="321"/>
      <c r="C30" s="322"/>
      <c r="D30" s="202"/>
      <c r="E30" s="203"/>
      <c r="F30" s="101">
        <f>AC30</f>
        <v>0</v>
      </c>
      <c r="G30" s="75">
        <f>AH30</f>
        <v>0</v>
      </c>
      <c r="H30" s="75">
        <f>AM30</f>
        <v>33834.890428193816</v>
      </c>
      <c r="I30" s="75">
        <f>AR30</f>
        <v>158875.46180364248</v>
      </c>
      <c r="J30" s="72">
        <f>SUM(F30:I30)</f>
        <v>192710.3522318363</v>
      </c>
      <c r="K30" s="75">
        <f>AW30</f>
        <v>408076.87300501106</v>
      </c>
      <c r="L30" s="75">
        <f>BB30</f>
        <v>843410.22648391593</v>
      </c>
      <c r="M30" s="75">
        <f>BG30</f>
        <v>1618485.9704760127</v>
      </c>
      <c r="N30" s="75">
        <f>BL30</f>
        <v>3084163.4725068966</v>
      </c>
      <c r="O30" s="72">
        <f>SUM(K30:N30)</f>
        <v>5954136.5424718363</v>
      </c>
      <c r="P30" s="75">
        <f>BQ30</f>
        <v>6184785.9468920901</v>
      </c>
      <c r="Q30" s="75">
        <f>BV30</f>
        <v>12186619.809388254</v>
      </c>
      <c r="R30" s="75">
        <f>CA30</f>
        <v>24582190.351935159</v>
      </c>
      <c r="S30" s="75">
        <f>CF30</f>
        <v>50658827.247549705</v>
      </c>
      <c r="T30" s="158">
        <f>SUM(P30:S30)</f>
        <v>93612423.355765209</v>
      </c>
      <c r="U30" s="162">
        <f>SUM(((S18+U18)/2)*(U21+U22+U23+U24+U25+U26+U27+U28))</f>
        <v>552112947.54911792</v>
      </c>
      <c r="V30" s="72">
        <f>SUM(((U18+V18)/2)*(V21+V22+V23+V24+V25+V26+V27+V28))</f>
        <v>1458942293.0931103</v>
      </c>
      <c r="W30" s="89">
        <f>SUM(((V18+W18)/2)*(W21+W22+W23+W24+W25+W26+W27+W28))</f>
        <v>3076502680.7854595</v>
      </c>
      <c r="X30" s="178"/>
      <c r="Y30" s="509">
        <v>0</v>
      </c>
      <c r="Z30" s="75">
        <f>SUM(Z21:Z29)</f>
        <v>0</v>
      </c>
      <c r="AA30" s="75">
        <f>SUM(AA21:AA29)</f>
        <v>0</v>
      </c>
      <c r="AB30" s="75">
        <f>SUM(AB21:AB29)</f>
        <v>0</v>
      </c>
      <c r="AC30" s="72">
        <f>SUM(Z30:AB30)</f>
        <v>0</v>
      </c>
      <c r="AD30" s="72"/>
      <c r="AE30" s="75">
        <f>SUM(AE21:AE29)</f>
        <v>0</v>
      </c>
      <c r="AF30" s="75">
        <f>SUM(AF21:AF29)</f>
        <v>0</v>
      </c>
      <c r="AG30" s="75">
        <f>SUM(AG21:AG29)</f>
        <v>0</v>
      </c>
      <c r="AH30" s="72">
        <f>SUM(AE30:AG30)</f>
        <v>0</v>
      </c>
      <c r="AI30" s="72"/>
      <c r="AJ30" s="75">
        <f>SUM(AJ21:AJ29)</f>
        <v>6587.7606801076581</v>
      </c>
      <c r="AK30" s="75">
        <f>SUM(AK21:AK29)</f>
        <v>11098.291199090763</v>
      </c>
      <c r="AL30" s="75">
        <f>SUM(AL21:AL29)</f>
        <v>16148.838548995394</v>
      </c>
      <c r="AM30" s="72">
        <f>SUM(AJ30:AL30)</f>
        <v>33834.890428193816</v>
      </c>
      <c r="AN30" s="72"/>
      <c r="AO30" s="75">
        <f>SUM(AO21:AO29)</f>
        <v>41016.306274206712</v>
      </c>
      <c r="AP30" s="75">
        <f>SUM(AP21:AP29)</f>
        <v>52616.185556572505</v>
      </c>
      <c r="AQ30" s="75">
        <f>SUM(AQ21:AQ29)</f>
        <v>65242.969972863277</v>
      </c>
      <c r="AR30" s="72">
        <f>SUM(AO30:AQ30)</f>
        <v>158875.46180364248</v>
      </c>
      <c r="AS30" s="72"/>
      <c r="AT30" s="75">
        <f>SUM(AT21:AT29)</f>
        <v>113676.61176725413</v>
      </c>
      <c r="AU30" s="75">
        <f>SUM(AU21:AU29)</f>
        <v>135587.43921536847</v>
      </c>
      <c r="AV30" s="75">
        <f>SUM(AV21:AV29)</f>
        <v>158812.82202238846</v>
      </c>
      <c r="AW30" s="72">
        <f>SUM(AT30:AV30)</f>
        <v>408076.87300501106</v>
      </c>
      <c r="AX30" s="72"/>
      <c r="AY30" s="75">
        <f>SUM(AY21:AY29)</f>
        <v>241604.50551062348</v>
      </c>
      <c r="AZ30" s="75">
        <f>SUM(AZ21:AZ29)</f>
        <v>280680.92724682781</v>
      </c>
      <c r="BA30" s="75">
        <f>SUM(BA21:BA29)</f>
        <v>321124.79372646456</v>
      </c>
      <c r="BB30" s="72">
        <f>SUM(AY30:BA30)</f>
        <v>843410.22648391593</v>
      </c>
      <c r="BC30" s="72"/>
      <c r="BD30" s="75">
        <f>SUM(BD21:BD29)</f>
        <v>464231.80722300929</v>
      </c>
      <c r="BE30" s="75">
        <f>SUM(BE21:BE29)</f>
        <v>538701.19041184988</v>
      </c>
      <c r="BF30" s="75">
        <f>SUM(BF21:BF29)</f>
        <v>615552.9728411535</v>
      </c>
      <c r="BG30" s="72">
        <f>SUM(BD30:BF30)</f>
        <v>1618485.9704760127</v>
      </c>
      <c r="BH30" s="72"/>
      <c r="BI30" s="75">
        <f>SUM(BI21:BI29)</f>
        <v>874035.54760997754</v>
      </c>
      <c r="BJ30" s="75">
        <f>SUM(BJ21:BJ29)</f>
        <v>1026278.9377513858</v>
      </c>
      <c r="BK30" s="75">
        <f>SUM(BK21:BK29)</f>
        <v>1183848.9871455333</v>
      </c>
      <c r="BL30" s="72">
        <f>SUM(BI30:BK30)</f>
        <v>3084163.4725068966</v>
      </c>
      <c r="BM30" s="72"/>
      <c r="BN30" s="75">
        <f>SUM(BN21:BN29)</f>
        <v>1736543.8800447215</v>
      </c>
      <c r="BO30" s="75">
        <f>SUM(BO21:BO29)</f>
        <v>2057531.4480176296</v>
      </c>
      <c r="BP30" s="75">
        <f>SUM(BP21:BP29)</f>
        <v>2390710.6188297397</v>
      </c>
      <c r="BQ30" s="72">
        <f>SUM(BN30:BP30)</f>
        <v>6184785.9468920901</v>
      </c>
      <c r="BR30" s="72"/>
      <c r="BS30" s="75">
        <f>SUM(BS21:BS29)</f>
        <v>3388750.1048485232</v>
      </c>
      <c r="BT30" s="75">
        <f>SUM(BT21:BT29)</f>
        <v>4053133.0189173291</v>
      </c>
      <c r="BU30" s="75">
        <f>SUM(BU21:BU29)</f>
        <v>4744736.6856224025</v>
      </c>
      <c r="BV30" s="72">
        <f>SUM(BS30:BU30)</f>
        <v>12186619.809388254</v>
      </c>
      <c r="BW30" s="72"/>
      <c r="BX30" s="75">
        <f>SUM(BX21:BX29)</f>
        <v>6739044.7383670695</v>
      </c>
      <c r="BY30" s="75">
        <f>SUM(BY21:BY29)</f>
        <v>8173052.868582651</v>
      </c>
      <c r="BZ30" s="75">
        <f>SUM(BZ21:BZ29)</f>
        <v>9670092.7449854389</v>
      </c>
      <c r="CA30" s="72">
        <f>SUM(BX30:BZ30)</f>
        <v>24582190.351935159</v>
      </c>
      <c r="CB30" s="72"/>
      <c r="CC30" s="75">
        <f>SUM(CC21:CC29)</f>
        <v>13743971.833987854</v>
      </c>
      <c r="CD30" s="75">
        <f>SUM(CD21:CD29)</f>
        <v>16837880.568785165</v>
      </c>
      <c r="CE30" s="75">
        <f>SUM(CE21:CE29)</f>
        <v>20076974.844776686</v>
      </c>
      <c r="CF30" s="84">
        <f>SUM(CC30:CE30)</f>
        <v>50658827.247549705</v>
      </c>
      <c r="CG30" s="89"/>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5"/>
      <c r="B31" s="160"/>
      <c r="C31" s="323"/>
      <c r="D31" s="40"/>
      <c r="E31" s="42"/>
      <c r="F31" s="102"/>
      <c r="G31" s="30"/>
      <c r="H31" s="30"/>
      <c r="I31" s="30"/>
      <c r="J31" s="30"/>
      <c r="K31" s="30"/>
      <c r="L31" s="30"/>
      <c r="M31" s="30"/>
      <c r="N31" s="30"/>
      <c r="O31" s="30"/>
      <c r="P31" s="30"/>
      <c r="Q31" s="30"/>
      <c r="R31" s="30"/>
      <c r="S31" s="30"/>
      <c r="T31" s="108"/>
      <c r="U31" s="40"/>
      <c r="V31" s="30"/>
      <c r="W31" s="42"/>
      <c r="X31" s="168"/>
      <c r="Y31" s="66"/>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0" t="s">
        <v>211</v>
      </c>
      <c r="B32" s="292"/>
      <c r="C32" s="324"/>
      <c r="D32" s="302"/>
      <c r="E32" s="303"/>
      <c r="F32" s="103"/>
      <c r="G32" s="69"/>
      <c r="H32" s="69"/>
      <c r="I32" s="69"/>
      <c r="J32" s="285"/>
      <c r="K32" s="69"/>
      <c r="L32" s="69"/>
      <c r="M32" s="69"/>
      <c r="N32" s="69"/>
      <c r="O32" s="285"/>
      <c r="P32" s="69"/>
      <c r="Q32" s="69"/>
      <c r="R32" s="69"/>
      <c r="S32" s="69"/>
      <c r="T32" s="277"/>
      <c r="U32" s="284"/>
      <c r="V32" s="285"/>
      <c r="W32" s="286"/>
      <c r="X32" s="178"/>
      <c r="Y32" s="504"/>
      <c r="Z32" s="69"/>
      <c r="AA32" s="69"/>
      <c r="AB32" s="69"/>
      <c r="AC32" s="285"/>
      <c r="AD32" s="72"/>
      <c r="AE32" s="69"/>
      <c r="AF32" s="69"/>
      <c r="AG32" s="69"/>
      <c r="AH32" s="285"/>
      <c r="AI32" s="72"/>
      <c r="AJ32" s="69"/>
      <c r="AK32" s="69"/>
      <c r="AL32" s="69"/>
      <c r="AM32" s="285"/>
      <c r="AN32" s="72"/>
      <c r="AO32" s="69"/>
      <c r="AP32" s="69"/>
      <c r="AQ32" s="69"/>
      <c r="AR32" s="285"/>
      <c r="AS32" s="72"/>
      <c r="AT32" s="69"/>
      <c r="AU32" s="69"/>
      <c r="AV32" s="69"/>
      <c r="AW32" s="285"/>
      <c r="AX32" s="72"/>
      <c r="AY32" s="69"/>
      <c r="AZ32" s="69"/>
      <c r="BA32" s="69"/>
      <c r="BB32" s="285"/>
      <c r="BC32" s="72"/>
      <c r="BD32" s="69"/>
      <c r="BE32" s="69"/>
      <c r="BF32" s="69"/>
      <c r="BG32" s="285"/>
      <c r="BH32" s="72"/>
      <c r="BI32" s="69"/>
      <c r="BJ32" s="69"/>
      <c r="BK32" s="69"/>
      <c r="BL32" s="285"/>
      <c r="BM32" s="72"/>
      <c r="BN32" s="69"/>
      <c r="BO32" s="69"/>
      <c r="BP32" s="69"/>
      <c r="BQ32" s="285"/>
      <c r="BR32" s="72"/>
      <c r="BS32" s="69"/>
      <c r="BT32" s="69"/>
      <c r="BU32" s="69"/>
      <c r="BV32" s="285"/>
      <c r="BW32" s="72"/>
      <c r="BX32" s="69"/>
      <c r="BY32" s="69"/>
      <c r="BZ32" s="69"/>
      <c r="CA32" s="285"/>
      <c r="CB32" s="72"/>
      <c r="CC32" s="69"/>
      <c r="CD32" s="69"/>
      <c r="CE32" s="69"/>
      <c r="CF32" s="285"/>
      <c r="CG32" s="89"/>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1" t="s">
        <v>201</v>
      </c>
      <c r="B33" s="281">
        <v>0</v>
      </c>
      <c r="C33" s="269">
        <v>0.1</v>
      </c>
      <c r="D33" s="116"/>
      <c r="E33" s="117"/>
      <c r="F33" s="104">
        <f>SUM((IF(ISBLANK(D33),B33,D33))+(F34*(IF(ISBLANK(E33),C33,E33))))</f>
        <v>2000</v>
      </c>
      <c r="G33" s="70">
        <f>SUM((IF(ISBLANK(D33),B33,D33))+(G34*(IF(ISBLANK(E33),C33,E33))))</f>
        <v>2000</v>
      </c>
      <c r="H33" s="70">
        <f>SUM((IF(ISBLANK(D33),B33,D33))+(H34*(IF(ISBLANK(E33),C33,E33))))</f>
        <v>2225.5659361879589</v>
      </c>
      <c r="I33" s="70">
        <f>SUM((IF(ISBLANK(D33),B33,D33))+(I34*(IF(ISBLANK(E33),C33,E33))))</f>
        <v>3205.2979506437546</v>
      </c>
      <c r="J33" s="282">
        <f>SUM(AC33+AH33+AM33+AR33)</f>
        <v>28292.591660495142</v>
      </c>
      <c r="K33" s="70">
        <f>SUM((IF(ISBLANK(D33),B33,D33))+(K34*(IF(ISBLANK(E33),C33,E33))))</f>
        <v>5517.7335643388178</v>
      </c>
      <c r="L33" s="70">
        <f>SUM((IF(ISBLANK(D33),B33,D33))+(L34*(IF(ISBLANK(E33),C33,E33))))</f>
        <v>9875.3530678390507</v>
      </c>
      <c r="M33" s="70">
        <f>SUM((IF(ISBLANK(D33),B33,D33))+(M34*(IF(ISBLANK(E33),C33,E33))))</f>
        <v>17428.28759672711</v>
      </c>
      <c r="N33" s="70">
        <f>SUM((IF(ISBLANK(D33),B33,D33))+(N34*(IF(ISBLANK(E33),C33,E33))))</f>
        <v>30278.968732172514</v>
      </c>
      <c r="O33" s="282">
        <f>SUM(AW33+BB33+BG33+BL33)</f>
        <v>189301.0288832325</v>
      </c>
      <c r="P33" s="70">
        <f>SUM((IF(ISBLANK(D33),B33,D33))+(P34*(IF(ISBLANK(E33),C33,E33))))</f>
        <v>52956.517204110191</v>
      </c>
      <c r="Q33" s="70">
        <f>SUM((IF(ISBLANK(D33),B33,D33))+(Q34*(IF(ISBLANK(E33),C33,E33))))</f>
        <v>91547.47993383967</v>
      </c>
      <c r="R33" s="70">
        <f>SUM((IF(ISBLANK(D33),B33,D33))+(R34*(IF(ISBLANK(E33),C33,E33))))</f>
        <v>157099.98753900011</v>
      </c>
      <c r="S33" s="70">
        <f>SUM((IF(ISBLANK(D33),B33,D33))+(S34*(IF(ISBLANK(E33),C33,E33))))</f>
        <v>266860.77990869118</v>
      </c>
      <c r="T33" s="305">
        <f>SUM(BQ33+BV33+CA33+CF33)</f>
        <v>1705394.2937569236</v>
      </c>
      <c r="U33" s="281">
        <f>SUM((IF(ISBLANK(D33),B33,D33))+(U34*(IF(ISBLANK(E33),C33,E33))))</f>
        <v>14244588.309886657</v>
      </c>
      <c r="V33" s="282">
        <f>SUM((IF(ISBLANK(D33),B33,D33))+(V34*(IF(ISBLANK(E33),C33,E33))))</f>
        <v>19350886.335712548</v>
      </c>
      <c r="W33" s="283">
        <f>SUM((IF(ISBLANK(D33),B33,D33))+(W34*(IF(ISBLANK(E33),C33,E33))))</f>
        <v>25503891.697283473</v>
      </c>
      <c r="X33" s="177"/>
      <c r="Y33" s="505">
        <f>SUM(11102+10095+8000)</f>
        <v>29197</v>
      </c>
      <c r="Z33" s="70">
        <f>F33</f>
        <v>2000</v>
      </c>
      <c r="AA33" s="70">
        <f>F33</f>
        <v>2000</v>
      </c>
      <c r="AB33" s="70">
        <f>F33</f>
        <v>2000</v>
      </c>
      <c r="AC33" s="282">
        <f t="shared" ref="AC33:AC43" si="134">SUM(Z33:AB33)</f>
        <v>6000</v>
      </c>
      <c r="AD33" s="74"/>
      <c r="AE33" s="70">
        <f>G33</f>
        <v>2000</v>
      </c>
      <c r="AF33" s="70">
        <f>G33</f>
        <v>2000</v>
      </c>
      <c r="AG33" s="70">
        <f>G33</f>
        <v>2000</v>
      </c>
      <c r="AH33" s="282">
        <f t="shared" ref="AH33:AH46" si="135">SUM(AE33:AG33)</f>
        <v>6000</v>
      </c>
      <c r="AI33" s="74"/>
      <c r="AJ33" s="70">
        <f>H33</f>
        <v>2225.5659361879589</v>
      </c>
      <c r="AK33" s="70">
        <f>H33</f>
        <v>2225.5659361879589</v>
      </c>
      <c r="AL33" s="70">
        <f>H33</f>
        <v>2225.5659361879589</v>
      </c>
      <c r="AM33" s="282">
        <f t="shared" ref="AM33:AM43" si="136">SUM(AJ33:AL33)</f>
        <v>6676.6978085638766</v>
      </c>
      <c r="AN33" s="74"/>
      <c r="AO33" s="70">
        <f>I33</f>
        <v>3205.2979506437546</v>
      </c>
      <c r="AP33" s="70">
        <f>I33</f>
        <v>3205.2979506437546</v>
      </c>
      <c r="AQ33" s="70">
        <f>I33</f>
        <v>3205.2979506437546</v>
      </c>
      <c r="AR33" s="282">
        <f t="shared" ref="AR33:AR43" si="137">SUM(AO33:AQ33)</f>
        <v>9615.8938519312633</v>
      </c>
      <c r="AS33" s="74"/>
      <c r="AT33" s="70">
        <f>K33</f>
        <v>5517.7335643388178</v>
      </c>
      <c r="AU33" s="70">
        <f>K33</f>
        <v>5517.7335643388178</v>
      </c>
      <c r="AV33" s="70">
        <f>K33</f>
        <v>5517.7335643388178</v>
      </c>
      <c r="AW33" s="282">
        <f t="shared" ref="AW33:AW43" si="138">SUM(AT33:AV33)</f>
        <v>16553.200693016453</v>
      </c>
      <c r="AX33" s="74"/>
      <c r="AY33" s="70">
        <f>L33</f>
        <v>9875.3530678390507</v>
      </c>
      <c r="AZ33" s="70">
        <f>L33</f>
        <v>9875.3530678390507</v>
      </c>
      <c r="BA33" s="70">
        <f>L33</f>
        <v>9875.3530678390507</v>
      </c>
      <c r="BB33" s="282">
        <f t="shared" ref="BB33:BB43" si="139">SUM(AY33:BA33)</f>
        <v>29626.05920351715</v>
      </c>
      <c r="BC33" s="74"/>
      <c r="BD33" s="70">
        <f>M33</f>
        <v>17428.28759672711</v>
      </c>
      <c r="BE33" s="70">
        <f>M33</f>
        <v>17428.28759672711</v>
      </c>
      <c r="BF33" s="70">
        <f>M33</f>
        <v>17428.28759672711</v>
      </c>
      <c r="BG33" s="282">
        <f t="shared" ref="BG33:BG43" si="140">SUM(BD33:BF33)</f>
        <v>52284.862790181331</v>
      </c>
      <c r="BH33" s="74"/>
      <c r="BI33" s="70">
        <f>N33</f>
        <v>30278.968732172514</v>
      </c>
      <c r="BJ33" s="70">
        <f>N33</f>
        <v>30278.968732172514</v>
      </c>
      <c r="BK33" s="70">
        <f>N33</f>
        <v>30278.968732172514</v>
      </c>
      <c r="BL33" s="282">
        <f t="shared" ref="BL33:BL43" si="141">SUM(BI33:BK33)</f>
        <v>90836.90619651755</v>
      </c>
      <c r="BM33" s="74"/>
      <c r="BN33" s="70">
        <f>P33</f>
        <v>52956.517204110191</v>
      </c>
      <c r="BO33" s="70">
        <f>P33</f>
        <v>52956.517204110191</v>
      </c>
      <c r="BP33" s="70">
        <f>P33</f>
        <v>52956.517204110191</v>
      </c>
      <c r="BQ33" s="282">
        <f t="shared" ref="BQ33:BQ43" si="142">SUM(BN33:BP33)</f>
        <v>158869.55161233057</v>
      </c>
      <c r="BR33" s="74"/>
      <c r="BS33" s="70">
        <f>Q33</f>
        <v>91547.47993383967</v>
      </c>
      <c r="BT33" s="70">
        <f>Q33</f>
        <v>91547.47993383967</v>
      </c>
      <c r="BU33" s="70">
        <f>Q33</f>
        <v>91547.47993383967</v>
      </c>
      <c r="BV33" s="282">
        <f t="shared" ref="BV33:BV43" si="143">SUM(BS33:BU33)</f>
        <v>274642.43980151904</v>
      </c>
      <c r="BW33" s="74"/>
      <c r="BX33" s="70">
        <f>R33</f>
        <v>157099.98753900011</v>
      </c>
      <c r="BY33" s="70">
        <f>R33</f>
        <v>157099.98753900011</v>
      </c>
      <c r="BZ33" s="70">
        <f>R33</f>
        <v>157099.98753900011</v>
      </c>
      <c r="CA33" s="282">
        <f t="shared" ref="CA33:CA43" si="144">SUM(BX33:BZ33)</f>
        <v>471299.96261700033</v>
      </c>
      <c r="CB33" s="74"/>
      <c r="CC33" s="70">
        <f>S33</f>
        <v>266860.77990869118</v>
      </c>
      <c r="CD33" s="70">
        <f>S33</f>
        <v>266860.77990869118</v>
      </c>
      <c r="CE33" s="70">
        <f>S33</f>
        <v>266860.77990869118</v>
      </c>
      <c r="CF33" s="282">
        <f t="shared" ref="CF33:CF43" si="145">SUM(CC33:CE33)</f>
        <v>800582.33972607355</v>
      </c>
      <c r="CG33" s="88"/>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1" t="s">
        <v>202</v>
      </c>
      <c r="B34" s="270">
        <v>0.2</v>
      </c>
      <c r="C34" s="269">
        <v>-1.4999999999999999E-2</v>
      </c>
      <c r="D34" s="118"/>
      <c r="E34" s="117"/>
      <c r="F34" s="130">
        <v>20000</v>
      </c>
      <c r="G34" s="131">
        <v>20000</v>
      </c>
      <c r="H34" s="70">
        <f>SUM((IF(ISBLANK(D34),B34,D34)*(H30/3))+(G34))</f>
        <v>22255.659361879589</v>
      </c>
      <c r="I34" s="70">
        <f>SUM(IF(ISBLANK(D34),      (IF((1*(IF(ISBLANK(E34),C34,E34)) + B34) &lt; 0,     0,     (1*(IF(ISBLANK(E34),C34,E34)) + B34)   )),       (IF((1*(IF(ISBLANK(E34),C34,E34)) + D34) &lt; 0,     0,     (1*(IF(ISBLANK(E34),C34,E34)) + D34)   ))  )       *   (I30/3)+(H34))</f>
        <v>32052.979506437543</v>
      </c>
      <c r="J34" s="282">
        <f t="shared" ref="J34:J45" si="146">SUM(AC34+AH34+AM34+AR34)</f>
        <v>282925.91660495137</v>
      </c>
      <c r="K34" s="70">
        <f>SUM(IF(ISBLANK(D34),      (IF((2*(IF(ISBLANK(E34),C34,E34)) + B34) &lt; 0,     0,     (2*(IF(ISBLANK(E34),C34,E34)) + B34)   )),       (IF((2*(IF(ISBLANK(E34),C34,E34)) + D34) &lt; 0,     0,     (2*(IF(ISBLANK(E34),C34,E34)) + D34)   ))  )       *   (K30/3)+(I34))</f>
        <v>55177.335643388171</v>
      </c>
      <c r="L34" s="70">
        <f>SUM(IF(ISBLANK(D34),      (IF((3*(IF(ISBLANK(E34),C34,E34)) + B34) &lt; 0,     0,     (3*(IF(ISBLANK(E34),C34,E34)) + B34)   )),       (IF((3*(IF(ISBLANK(E34),C34,E34)) + D34) &lt; 0,     0,     (3*(IF(ISBLANK(E34),C34,E34)) + D34)   ))  )       *   (L30/3)+(K34))</f>
        <v>98753.530678390496</v>
      </c>
      <c r="M34" s="70">
        <f>SUM(IF(ISBLANK(D34),      (IF((4*(IF(ISBLANK(E34),C34,E34)) + B34) &lt; 0,     0,     (4*(IF(ISBLANK(E34),C34,E34)) + B34)   )),       (IF((4*(IF(ISBLANK(E34),C34,E34)) + D34) &lt; 0,     0,     (4*(IF(ISBLANK(E34),C34,E34)) + D34)   ))  )       *   (M30/3)+(L34))</f>
        <v>174282.8759672711</v>
      </c>
      <c r="N34" s="70">
        <f>SUM(IF(ISBLANK(D34),      (IF((5*(IF(ISBLANK(E34),C34,E34)) + B34) &lt; 0,     0,     (5*(IF(ISBLANK(E34),C34,E34)) + B34)   )),       (IF((5*(IF(ISBLANK(E34),C34,E34)) + D34) &lt; 0,     0,     (5*(IF(ISBLANK(E34),C34,E34)) + D34)   ))  )       *   (N30/3)+(M34))</f>
        <v>302789.68732172513</v>
      </c>
      <c r="O34" s="282">
        <f t="shared" ref="O34:O45" si="147">SUM(AW34+BB34+BG34+BL34)</f>
        <v>1893010.2888323248</v>
      </c>
      <c r="P34" s="70">
        <f>SUM(IF(ISBLANK(D34),      (IF((6*(IF(ISBLANK(E34),C34,E34)) + B34) &lt; 0,     0,     (6*(IF(ISBLANK(E34),C34,E34)) + B34)   )),       (IF((6*(IF(ISBLANK(E34),C34,E34)) + D34) &lt; 0,     0,     (6*(IF(ISBLANK(E34),C34,E34)) + D34)   ))  )       *   (P30/3)+(N34))</f>
        <v>529565.17204110185</v>
      </c>
      <c r="Q34" s="70">
        <f>SUM(IF(ISBLANK(D34),      (IF((7*(IF(ISBLANK(E34),C34,E34)) + B34) &lt; 0,     0,     (7*(IF(ISBLANK(E34),C34,E34)) + B34)   )),       (IF((7*(IF(ISBLANK(E34),C34,E34)) + D34) &lt; 0,     0,     (7*(IF(ISBLANK(E34),C34,E34)) + D34)   ))  )       *   (Q30/3)+(P34))</f>
        <v>915474.79933839664</v>
      </c>
      <c r="R34" s="70">
        <f>SUM(IF(ISBLANK(D34),      (IF((8*(IF(ISBLANK(E34),C34,E34)) + B34) &lt; 0,     0,     (8*(IF(ISBLANK(E34),C34,E34)) + B34)   )),       (IF((8*(IF(ISBLANK(E34),C34,E34)) + D34) &lt; 0,     0,     (8*(IF(ISBLANK(E34),C34,E34)) + D34)   ))  )       *   (R30/3)+(Q34))</f>
        <v>1570999.8753900011</v>
      </c>
      <c r="S34" s="70">
        <f>SUM(IF(ISBLANK(D34),      (IF((9*(IF(ISBLANK(E34),C34,E34)) + B34) &lt; 0,     0,     (9*(IF(ISBLANK(E34),C34,E34)) + B34)   )),       (IF((9*(IF(ISBLANK(E34),C34,E34)) + D34) &lt; 0,     0,     (9*(IF(ISBLANK(E34),C34,E34)) + D34)   ))  )       *   (S30/3)+(R34))</f>
        <v>2668607.7990869116</v>
      </c>
      <c r="T34" s="305">
        <f t="shared" ref="T34:T45" si="148">SUM(BQ34+BV34+CA34+CF34)</f>
        <v>17053942.937569235</v>
      </c>
      <c r="U34" s="281">
        <f>SUM(IF(ISBLANK(D34),      (IF((10*(IF(ISBLANK(E34),C34,E34)) + B34) &lt; 0,     0,     (10*(IF(ISBLANK(E34),C34,E34)) + B34)   )),       (IF((10*(IF(ISBLANK(E34),C34,E34)) + D34) &lt; 0,     0,     (10*(IF(ISBLANK(E34),C34,E34)) + D34)   ))  )       *   (U30/3)+(S34))*12</f>
        <v>142445883.09886655</v>
      </c>
      <c r="V34" s="282">
        <f>SUM(IF(ISBLANK(D34),      (IF((11*(IF(ISBLANK(E34),C34,E34)) + B34) &lt; 0,     0,     (11*(IF(ISBLANK(E34),C34,E34)) + B34)   )),       (IF((11*(IF(ISBLANK(E34),C34,E34)) + D34) &lt; 0,     0,     (11*(IF(ISBLANK(E34),C34,E34)) + D34)   ))  )       *   (V30/12)+(U34/12))*12</f>
        <v>193508863.35712546</v>
      </c>
      <c r="W34" s="283">
        <f>SUM(IF(ISBLANK(D34),      (IF((12*(IF(ISBLANK(E34),C34,E34)) + B34) &lt; 0,     0,     (12*(IF(ISBLANK(E34),C34,E34)) + B34)   )),       (IF((12*(IF(ISBLANK(E34),C34,E34)) + D34) &lt; 0,     0,     (12*(IF(ISBLANK(E34),C34,E34)) + D34)   ))  )       *   (W30/12)+(V34/12))*12</f>
        <v>255038916.97283471</v>
      </c>
      <c r="X34" s="177"/>
      <c r="Y34" s="505">
        <f>SUM(30664+342396+71683+36198+34170+34090+28752+50203+25449+25629+23773+25295+25295+20000)</f>
        <v>773597</v>
      </c>
      <c r="Z34" s="70">
        <f t="shared" ref="Z34:Z46" si="149">F34</f>
        <v>20000</v>
      </c>
      <c r="AA34" s="70">
        <f t="shared" ref="AA34:AA46" si="150">F34</f>
        <v>20000</v>
      </c>
      <c r="AB34" s="70">
        <f t="shared" ref="AB34:AB46" si="151">F34</f>
        <v>20000</v>
      </c>
      <c r="AC34" s="282">
        <f t="shared" si="134"/>
        <v>60000</v>
      </c>
      <c r="AD34" s="74"/>
      <c r="AE34" s="70">
        <f t="shared" ref="AE34:AE46" si="152">G34</f>
        <v>20000</v>
      </c>
      <c r="AF34" s="70">
        <f t="shared" ref="AF34:AF46" si="153">G34</f>
        <v>20000</v>
      </c>
      <c r="AG34" s="70">
        <f t="shared" ref="AG34:AG46" si="154">G34</f>
        <v>20000</v>
      </c>
      <c r="AH34" s="282">
        <f t="shared" si="135"/>
        <v>60000</v>
      </c>
      <c r="AI34" s="74"/>
      <c r="AJ34" s="70">
        <f t="shared" ref="AJ34:AJ46" si="155">H34</f>
        <v>22255.659361879589</v>
      </c>
      <c r="AK34" s="70">
        <f t="shared" ref="AK34:AK46" si="156">H34</f>
        <v>22255.659361879589</v>
      </c>
      <c r="AL34" s="70">
        <f t="shared" ref="AL34:AL46" si="157">H34</f>
        <v>22255.659361879589</v>
      </c>
      <c r="AM34" s="282">
        <f t="shared" si="136"/>
        <v>66766.978085638766</v>
      </c>
      <c r="AN34" s="74"/>
      <c r="AO34" s="70">
        <f t="shared" ref="AO34:AO46" si="158">I34</f>
        <v>32052.979506437543</v>
      </c>
      <c r="AP34" s="70">
        <f t="shared" ref="AP34:AP46" si="159">I34</f>
        <v>32052.979506437543</v>
      </c>
      <c r="AQ34" s="70">
        <f t="shared" ref="AQ34:AQ46" si="160">I34</f>
        <v>32052.979506437543</v>
      </c>
      <c r="AR34" s="282">
        <f t="shared" si="137"/>
        <v>96158.938519312622</v>
      </c>
      <c r="AS34" s="74"/>
      <c r="AT34" s="70">
        <f t="shared" ref="AT34:AT46" si="161">K34</f>
        <v>55177.335643388171</v>
      </c>
      <c r="AU34" s="70">
        <f t="shared" ref="AU34:AU46" si="162">K34</f>
        <v>55177.335643388171</v>
      </c>
      <c r="AV34" s="70">
        <f t="shared" ref="AV34:AV46" si="163">K34</f>
        <v>55177.335643388171</v>
      </c>
      <c r="AW34" s="282">
        <f t="shared" si="138"/>
        <v>165532.00693016453</v>
      </c>
      <c r="AX34" s="74"/>
      <c r="AY34" s="70">
        <f t="shared" ref="AY34:AY46" si="164">L34</f>
        <v>98753.530678390496</v>
      </c>
      <c r="AZ34" s="70">
        <f t="shared" ref="AZ34:AZ46" si="165">L34</f>
        <v>98753.530678390496</v>
      </c>
      <c r="BA34" s="70">
        <f t="shared" ref="BA34:BA46" si="166">L34</f>
        <v>98753.530678390496</v>
      </c>
      <c r="BB34" s="282">
        <f t="shared" si="139"/>
        <v>296260.59203517146</v>
      </c>
      <c r="BC34" s="74"/>
      <c r="BD34" s="70">
        <f t="shared" ref="BD34:BD46" si="167">M34</f>
        <v>174282.8759672711</v>
      </c>
      <c r="BE34" s="70">
        <f t="shared" ref="BE34:BE46" si="168">M34</f>
        <v>174282.8759672711</v>
      </c>
      <c r="BF34" s="70">
        <f t="shared" ref="BF34:BF46" si="169">M34</f>
        <v>174282.8759672711</v>
      </c>
      <c r="BG34" s="282">
        <f t="shared" si="140"/>
        <v>522848.62790181331</v>
      </c>
      <c r="BH34" s="74"/>
      <c r="BI34" s="70">
        <f t="shared" ref="BI34:BI46" si="170">N34</f>
        <v>302789.68732172513</v>
      </c>
      <c r="BJ34" s="70">
        <f t="shared" ref="BJ34:BJ46" si="171">N34</f>
        <v>302789.68732172513</v>
      </c>
      <c r="BK34" s="70">
        <f t="shared" ref="BK34:BK46" si="172">N34</f>
        <v>302789.68732172513</v>
      </c>
      <c r="BL34" s="282">
        <f t="shared" si="141"/>
        <v>908369.06196517544</v>
      </c>
      <c r="BM34" s="74"/>
      <c r="BN34" s="70">
        <f t="shared" ref="BN34:BN46" si="173">P34</f>
        <v>529565.17204110185</v>
      </c>
      <c r="BO34" s="70">
        <f t="shared" ref="BO34:BO43" si="174">P34</f>
        <v>529565.17204110185</v>
      </c>
      <c r="BP34" s="70">
        <f t="shared" ref="BP34:BP46" si="175">P34</f>
        <v>529565.17204110185</v>
      </c>
      <c r="BQ34" s="282">
        <f t="shared" si="142"/>
        <v>1588695.5161233055</v>
      </c>
      <c r="BR34" s="74"/>
      <c r="BS34" s="70">
        <f t="shared" ref="BS34:BS46" si="176">Q34</f>
        <v>915474.79933839664</v>
      </c>
      <c r="BT34" s="70">
        <f t="shared" ref="BT34:BT46" si="177">Q34</f>
        <v>915474.79933839664</v>
      </c>
      <c r="BU34" s="70">
        <f t="shared" ref="BU34:BU46" si="178">Q34</f>
        <v>915474.79933839664</v>
      </c>
      <c r="BV34" s="282">
        <f t="shared" si="143"/>
        <v>2746424.3980151899</v>
      </c>
      <c r="BW34" s="74"/>
      <c r="BX34" s="70">
        <f t="shared" ref="BX34:BX46" si="179">R34</f>
        <v>1570999.8753900011</v>
      </c>
      <c r="BY34" s="70">
        <f t="shared" ref="BY34:BY46" si="180">R34</f>
        <v>1570999.8753900011</v>
      </c>
      <c r="BZ34" s="70">
        <f t="shared" ref="BZ34:BZ46" si="181">R34</f>
        <v>1570999.8753900011</v>
      </c>
      <c r="CA34" s="282">
        <f t="shared" si="144"/>
        <v>4712999.6261700038</v>
      </c>
      <c r="CB34" s="74"/>
      <c r="CC34" s="70">
        <f t="shared" ref="CC34:CC46" si="182">S34</f>
        <v>2668607.7990869116</v>
      </c>
      <c r="CD34" s="70">
        <f t="shared" ref="CD34:CD46" si="183">S34</f>
        <v>2668607.7990869116</v>
      </c>
      <c r="CE34" s="70">
        <f t="shared" ref="CE34:CE46" si="184">S34</f>
        <v>2668607.7990869116</v>
      </c>
      <c r="CF34" s="282">
        <f t="shared" si="145"/>
        <v>8005823.3972607348</v>
      </c>
      <c r="CG34" s="88"/>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1" t="s">
        <v>203</v>
      </c>
      <c r="B35" s="281">
        <v>0</v>
      </c>
      <c r="C35" s="269">
        <v>0.02</v>
      </c>
      <c r="D35" s="116"/>
      <c r="E35" s="117"/>
      <c r="F35" s="104">
        <f>SUM((IF(ISBLANK(D35),B35,D35))+(F34*(IF(ISBLANK(E35),C35,E35))))</f>
        <v>400</v>
      </c>
      <c r="G35" s="70">
        <f>SUM((IF(ISBLANK(D35),B35,D35))+(G34*(IF(ISBLANK(E35),C35,E35))))</f>
        <v>400</v>
      </c>
      <c r="H35" s="70">
        <f>SUM((IF(ISBLANK(D35),B35,D35))+(H34*(IF(ISBLANK(E35),C35,E35))))</f>
        <v>445.11318723759177</v>
      </c>
      <c r="I35" s="70">
        <f>SUM((IF(ISBLANK(D35),B35,D35))+(I34*(IF(ISBLANK(E35),C35,E35))))</f>
        <v>641.05959012875087</v>
      </c>
      <c r="J35" s="282">
        <f t="shared" si="146"/>
        <v>5658.5183320990282</v>
      </c>
      <c r="K35" s="70">
        <f>SUM((IF(ISBLANK(D35),B35,D35))+(K34*(IF(ISBLANK(E35),C35,E35))))</f>
        <v>1103.5467128677635</v>
      </c>
      <c r="L35" s="70">
        <f>SUM((IF(ISBLANK(D35),B35,D35))+(L34*(IF(ISBLANK(E35),C35,E35))))</f>
        <v>1975.0706135678099</v>
      </c>
      <c r="M35" s="70">
        <f>SUM((IF(ISBLANK(D35),B35,D35))+(M34*(IF(ISBLANK(E35),C35,E35))))</f>
        <v>3485.6575193454223</v>
      </c>
      <c r="N35" s="70">
        <f>SUM((IF(ISBLANK(D35),B35,D35))+(N34*(IF(ISBLANK(E35),C35,E35))))</f>
        <v>6055.7937464345023</v>
      </c>
      <c r="O35" s="282">
        <f t="shared" si="147"/>
        <v>37860.2057766465</v>
      </c>
      <c r="P35" s="70">
        <f>SUM((IF(ISBLANK(D35),B35,D35))+(P34*(IF(ISBLANK(E35),C35,E35))))</f>
        <v>10591.303440822037</v>
      </c>
      <c r="Q35" s="70">
        <f>SUM((IF(ISBLANK(D35),B35,D35))+(Q34*(IF(ISBLANK(E35),C35,E35))))</f>
        <v>18309.495986767932</v>
      </c>
      <c r="R35" s="70">
        <f>SUM((IF(ISBLANK(D35),B35,D35))+(R34*(IF(ISBLANK(E35),C35,E35))))</f>
        <v>31419.997507800024</v>
      </c>
      <c r="S35" s="70">
        <f>SUM((IF(ISBLANK(D35),B35,D35))+(S34*(IF(ISBLANK(E35),C35,E35))))</f>
        <v>53372.155981738237</v>
      </c>
      <c r="T35" s="305">
        <f t="shared" si="148"/>
        <v>341078.85875138466</v>
      </c>
      <c r="U35" s="281">
        <f>SUM((IF(ISBLANK(D35),B35,D35))+(U34*(IF(ISBLANK(E35),C35,E35))))</f>
        <v>2848917.6619773312</v>
      </c>
      <c r="V35" s="282">
        <f>SUM((IF(ISBLANK(D35),B35,D35))+(V34*(IF(ISBLANK(E35),C35,E35))))</f>
        <v>3870177.2671425091</v>
      </c>
      <c r="W35" s="283">
        <f>SUM((IF(ISBLANK(D35),B35,D35))+(W34*(IF(ISBLANK(E35),C35,E35))))</f>
        <v>5100778.3394566942</v>
      </c>
      <c r="X35" s="177"/>
      <c r="Y35" s="505">
        <v>4000</v>
      </c>
      <c r="Z35" s="70">
        <f t="shared" si="149"/>
        <v>400</v>
      </c>
      <c r="AA35" s="70">
        <f t="shared" si="150"/>
        <v>400</v>
      </c>
      <c r="AB35" s="70">
        <f t="shared" si="151"/>
        <v>400</v>
      </c>
      <c r="AC35" s="282">
        <f t="shared" si="134"/>
        <v>1200</v>
      </c>
      <c r="AD35" s="74"/>
      <c r="AE35" s="70">
        <f t="shared" si="152"/>
        <v>400</v>
      </c>
      <c r="AF35" s="70">
        <f t="shared" si="153"/>
        <v>400</v>
      </c>
      <c r="AG35" s="70">
        <f t="shared" si="154"/>
        <v>400</v>
      </c>
      <c r="AH35" s="282">
        <f t="shared" si="135"/>
        <v>1200</v>
      </c>
      <c r="AI35" s="74"/>
      <c r="AJ35" s="70">
        <f t="shared" si="155"/>
        <v>445.11318723759177</v>
      </c>
      <c r="AK35" s="70">
        <f t="shared" si="156"/>
        <v>445.11318723759177</v>
      </c>
      <c r="AL35" s="70">
        <f t="shared" si="157"/>
        <v>445.11318723759177</v>
      </c>
      <c r="AM35" s="282">
        <f t="shared" si="136"/>
        <v>1335.3395617127753</v>
      </c>
      <c r="AN35" s="74"/>
      <c r="AO35" s="70">
        <f t="shared" si="158"/>
        <v>641.05959012875087</v>
      </c>
      <c r="AP35" s="70">
        <f t="shared" si="159"/>
        <v>641.05959012875087</v>
      </c>
      <c r="AQ35" s="70">
        <f t="shared" si="160"/>
        <v>641.05959012875087</v>
      </c>
      <c r="AR35" s="282">
        <f t="shared" si="137"/>
        <v>1923.1787703862526</v>
      </c>
      <c r="AS35" s="74"/>
      <c r="AT35" s="70">
        <f t="shared" si="161"/>
        <v>1103.5467128677635</v>
      </c>
      <c r="AU35" s="70">
        <f t="shared" si="162"/>
        <v>1103.5467128677635</v>
      </c>
      <c r="AV35" s="70">
        <f t="shared" si="163"/>
        <v>1103.5467128677635</v>
      </c>
      <c r="AW35" s="282">
        <f t="shared" si="138"/>
        <v>3310.6401386032903</v>
      </c>
      <c r="AX35" s="74"/>
      <c r="AY35" s="70">
        <f t="shared" si="164"/>
        <v>1975.0706135678099</v>
      </c>
      <c r="AZ35" s="70">
        <f t="shared" si="165"/>
        <v>1975.0706135678099</v>
      </c>
      <c r="BA35" s="70">
        <f t="shared" si="166"/>
        <v>1975.0706135678099</v>
      </c>
      <c r="BB35" s="282">
        <f t="shared" si="139"/>
        <v>5925.2118407034295</v>
      </c>
      <c r="BC35" s="74"/>
      <c r="BD35" s="70">
        <f t="shared" si="167"/>
        <v>3485.6575193454223</v>
      </c>
      <c r="BE35" s="70">
        <f t="shared" si="168"/>
        <v>3485.6575193454223</v>
      </c>
      <c r="BF35" s="70">
        <f t="shared" si="169"/>
        <v>3485.6575193454223</v>
      </c>
      <c r="BG35" s="282">
        <f t="shared" si="140"/>
        <v>10456.972558036266</v>
      </c>
      <c r="BH35" s="74"/>
      <c r="BI35" s="70">
        <f t="shared" si="170"/>
        <v>6055.7937464345023</v>
      </c>
      <c r="BJ35" s="70">
        <f t="shared" si="171"/>
        <v>6055.7937464345023</v>
      </c>
      <c r="BK35" s="70">
        <f t="shared" si="172"/>
        <v>6055.7937464345023</v>
      </c>
      <c r="BL35" s="282">
        <f t="shared" si="141"/>
        <v>18167.381239303508</v>
      </c>
      <c r="BM35" s="74"/>
      <c r="BN35" s="70">
        <f t="shared" si="173"/>
        <v>10591.303440822037</v>
      </c>
      <c r="BO35" s="70">
        <f t="shared" si="174"/>
        <v>10591.303440822037</v>
      </c>
      <c r="BP35" s="70">
        <f t="shared" si="175"/>
        <v>10591.303440822037</v>
      </c>
      <c r="BQ35" s="282">
        <f t="shared" si="142"/>
        <v>31773.910322466112</v>
      </c>
      <c r="BR35" s="74"/>
      <c r="BS35" s="70">
        <f t="shared" si="176"/>
        <v>18309.495986767932</v>
      </c>
      <c r="BT35" s="70">
        <f t="shared" si="177"/>
        <v>18309.495986767932</v>
      </c>
      <c r="BU35" s="70">
        <f t="shared" si="178"/>
        <v>18309.495986767932</v>
      </c>
      <c r="BV35" s="282">
        <f t="shared" si="143"/>
        <v>54928.487960303799</v>
      </c>
      <c r="BW35" s="74"/>
      <c r="BX35" s="70">
        <f t="shared" si="179"/>
        <v>31419.997507800024</v>
      </c>
      <c r="BY35" s="70">
        <f t="shared" si="180"/>
        <v>31419.997507800024</v>
      </c>
      <c r="BZ35" s="70">
        <f t="shared" si="181"/>
        <v>31419.997507800024</v>
      </c>
      <c r="CA35" s="282">
        <f t="shared" si="144"/>
        <v>94259.992523400069</v>
      </c>
      <c r="CB35" s="74"/>
      <c r="CC35" s="70">
        <f t="shared" si="182"/>
        <v>53372.155981738237</v>
      </c>
      <c r="CD35" s="70">
        <f t="shared" si="183"/>
        <v>53372.155981738237</v>
      </c>
      <c r="CE35" s="70">
        <f t="shared" si="184"/>
        <v>53372.155981738237</v>
      </c>
      <c r="CF35" s="282">
        <f t="shared" si="145"/>
        <v>160116.46794521471</v>
      </c>
      <c r="CG35" s="88"/>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1" t="s">
        <v>204</v>
      </c>
      <c r="B36" s="281">
        <v>1500</v>
      </c>
      <c r="C36" s="269">
        <v>0.08</v>
      </c>
      <c r="D36" s="116"/>
      <c r="E36" s="117"/>
      <c r="F36" s="104">
        <f>SUM((IF(ISBLANK(D36),B36,D36))+(F34*(IF(ISBLANK(E36),C36,E36))))</f>
        <v>3100</v>
      </c>
      <c r="G36" s="70">
        <f>SUM((IF(ISBLANK(D36),B36,D36))+(G34*(IF(ISBLANK(E36),C36,E36))))</f>
        <v>3100</v>
      </c>
      <c r="H36" s="70">
        <f>SUM((IF(ISBLANK(D36),B36,D36))+(H34*(IF(ISBLANK(E36),C36,E36))))</f>
        <v>3280.4527489503671</v>
      </c>
      <c r="I36" s="70">
        <f>SUM((IF(ISBLANK(D36),B36,D36))+(I34*(IF(ISBLANK(E36),C36,E36))))</f>
        <v>4064.2383605150035</v>
      </c>
      <c r="J36" s="282">
        <f t="shared" si="146"/>
        <v>40634.073328396116</v>
      </c>
      <c r="K36" s="70">
        <f>SUM((IF(ISBLANK(D36),B36,D36))+(K34*(IF(ISBLANK(E36),C36,E36))))</f>
        <v>5914.1868514710541</v>
      </c>
      <c r="L36" s="70">
        <f>SUM((IF(ISBLANK(D36),B36,D36))+(L34*(IF(ISBLANK(E36),C36,E36))))</f>
        <v>9400.2824542712406</v>
      </c>
      <c r="M36" s="70">
        <f>SUM((IF(ISBLANK(D36),B36,D36))+(M34*(IF(ISBLANK(E36),C36,E36))))</f>
        <v>15442.630077381689</v>
      </c>
      <c r="N36" s="70">
        <f>SUM((IF(ISBLANK(D36),B36,D36))+(N34*(IF(ISBLANK(E36),C36,E36))))</f>
        <v>25723.174985738009</v>
      </c>
      <c r="O36" s="282">
        <f t="shared" si="147"/>
        <v>169440.823106586</v>
      </c>
      <c r="P36" s="70">
        <f>SUM((IF(ISBLANK(D36),B36,D36))+(P34*(IF(ISBLANK(E36),C36,E36))))</f>
        <v>43865.213763288149</v>
      </c>
      <c r="Q36" s="70">
        <f>SUM((IF(ISBLANK(D36),B36,D36))+(Q34*(IF(ISBLANK(E36),C36,E36))))</f>
        <v>74737.983947071727</v>
      </c>
      <c r="R36" s="70">
        <f>SUM((IF(ISBLANK(D36),B36,D36))+(R34*(IF(ISBLANK(E36),C36,E36))))</f>
        <v>127179.9900312001</v>
      </c>
      <c r="S36" s="70">
        <f>SUM((IF(ISBLANK(D36),B36,D36))+(S34*(IF(ISBLANK(E36),C36,E36))))</f>
        <v>214988.62392695295</v>
      </c>
      <c r="T36" s="305">
        <f t="shared" si="148"/>
        <v>1382315.4350055386</v>
      </c>
      <c r="U36" s="281">
        <f>SUM((IF(ISBLANK(D36),B36,D36))+(U34*(IF(ISBLANK(E36),C36,E36))))</f>
        <v>11397170.647909325</v>
      </c>
      <c r="V36" s="282">
        <f>SUM((IF(ISBLANK(D36),B36,D36))+(V34*(IF(ISBLANK(E36),C36,E36))))</f>
        <v>15482209.068570036</v>
      </c>
      <c r="W36" s="283">
        <f>SUM((IF(ISBLANK(D36),B36,D36))+(W34*(IF(ISBLANK(E36),C36,E36))))</f>
        <v>20404613.357826777</v>
      </c>
      <c r="X36" s="177"/>
      <c r="Y36" s="505">
        <f>SUM(3832+10734+12859+20000)</f>
        <v>47425</v>
      </c>
      <c r="Z36" s="70">
        <f t="shared" si="149"/>
        <v>3100</v>
      </c>
      <c r="AA36" s="70">
        <f t="shared" si="150"/>
        <v>3100</v>
      </c>
      <c r="AB36" s="70">
        <f t="shared" si="151"/>
        <v>3100</v>
      </c>
      <c r="AC36" s="282">
        <f t="shared" si="134"/>
        <v>9300</v>
      </c>
      <c r="AD36" s="74"/>
      <c r="AE36" s="70">
        <f t="shared" si="152"/>
        <v>3100</v>
      </c>
      <c r="AF36" s="70">
        <f t="shared" si="153"/>
        <v>3100</v>
      </c>
      <c r="AG36" s="70">
        <f t="shared" si="154"/>
        <v>3100</v>
      </c>
      <c r="AH36" s="282">
        <f t="shared" si="135"/>
        <v>9300</v>
      </c>
      <c r="AI36" s="74"/>
      <c r="AJ36" s="70">
        <f t="shared" si="155"/>
        <v>3280.4527489503671</v>
      </c>
      <c r="AK36" s="70">
        <f t="shared" si="156"/>
        <v>3280.4527489503671</v>
      </c>
      <c r="AL36" s="70">
        <f t="shared" si="157"/>
        <v>3280.4527489503671</v>
      </c>
      <c r="AM36" s="282">
        <f t="shared" si="136"/>
        <v>9841.3582468511013</v>
      </c>
      <c r="AN36" s="74"/>
      <c r="AO36" s="70">
        <f t="shared" si="158"/>
        <v>4064.2383605150035</v>
      </c>
      <c r="AP36" s="70">
        <f t="shared" si="159"/>
        <v>4064.2383605150035</v>
      </c>
      <c r="AQ36" s="70">
        <f t="shared" si="160"/>
        <v>4064.2383605150035</v>
      </c>
      <c r="AR36" s="282">
        <f t="shared" si="137"/>
        <v>12192.715081545011</v>
      </c>
      <c r="AS36" s="74"/>
      <c r="AT36" s="70">
        <f t="shared" si="161"/>
        <v>5914.1868514710541</v>
      </c>
      <c r="AU36" s="70">
        <f t="shared" si="162"/>
        <v>5914.1868514710541</v>
      </c>
      <c r="AV36" s="70">
        <f t="shared" si="163"/>
        <v>5914.1868514710541</v>
      </c>
      <c r="AW36" s="282">
        <f t="shared" si="138"/>
        <v>17742.560554413161</v>
      </c>
      <c r="AX36" s="74"/>
      <c r="AY36" s="70">
        <f t="shared" si="164"/>
        <v>9400.2824542712406</v>
      </c>
      <c r="AZ36" s="70">
        <f>L36</f>
        <v>9400.2824542712406</v>
      </c>
      <c r="BA36" s="70">
        <f t="shared" si="166"/>
        <v>9400.2824542712406</v>
      </c>
      <c r="BB36" s="282">
        <f t="shared" si="139"/>
        <v>28200.847362813722</v>
      </c>
      <c r="BC36" s="74"/>
      <c r="BD36" s="70">
        <f t="shared" si="167"/>
        <v>15442.630077381689</v>
      </c>
      <c r="BE36" s="70">
        <f t="shared" si="168"/>
        <v>15442.630077381689</v>
      </c>
      <c r="BF36" s="70">
        <f t="shared" si="169"/>
        <v>15442.630077381689</v>
      </c>
      <c r="BG36" s="282">
        <f t="shared" si="140"/>
        <v>46327.890232145066</v>
      </c>
      <c r="BH36" s="74"/>
      <c r="BI36" s="70">
        <f t="shared" si="170"/>
        <v>25723.174985738009</v>
      </c>
      <c r="BJ36" s="70">
        <f t="shared" si="171"/>
        <v>25723.174985738009</v>
      </c>
      <c r="BK36" s="70">
        <f t="shared" si="172"/>
        <v>25723.174985738009</v>
      </c>
      <c r="BL36" s="282">
        <f t="shared" si="141"/>
        <v>77169.524957214031</v>
      </c>
      <c r="BM36" s="74"/>
      <c r="BN36" s="70">
        <f t="shared" si="173"/>
        <v>43865.213763288149</v>
      </c>
      <c r="BO36" s="70">
        <f t="shared" si="174"/>
        <v>43865.213763288149</v>
      </c>
      <c r="BP36" s="70">
        <f t="shared" si="175"/>
        <v>43865.213763288149</v>
      </c>
      <c r="BQ36" s="282">
        <f t="shared" si="142"/>
        <v>131595.64128986443</v>
      </c>
      <c r="BR36" s="74"/>
      <c r="BS36" s="70">
        <f t="shared" si="176"/>
        <v>74737.983947071727</v>
      </c>
      <c r="BT36" s="70">
        <f t="shared" si="177"/>
        <v>74737.983947071727</v>
      </c>
      <c r="BU36" s="70">
        <f t="shared" si="178"/>
        <v>74737.983947071727</v>
      </c>
      <c r="BV36" s="282">
        <f t="shared" si="143"/>
        <v>224213.9518412152</v>
      </c>
      <c r="BW36" s="74"/>
      <c r="BX36" s="70">
        <f t="shared" si="179"/>
        <v>127179.9900312001</v>
      </c>
      <c r="BY36" s="70">
        <f t="shared" si="180"/>
        <v>127179.9900312001</v>
      </c>
      <c r="BZ36" s="70">
        <f t="shared" si="181"/>
        <v>127179.9900312001</v>
      </c>
      <c r="CA36" s="282">
        <f t="shared" si="144"/>
        <v>381539.97009360028</v>
      </c>
      <c r="CB36" s="74"/>
      <c r="CC36" s="70">
        <f t="shared" si="182"/>
        <v>214988.62392695295</v>
      </c>
      <c r="CD36" s="70">
        <f t="shared" si="183"/>
        <v>214988.62392695295</v>
      </c>
      <c r="CE36" s="70">
        <f t="shared" si="184"/>
        <v>214988.62392695295</v>
      </c>
      <c r="CF36" s="282">
        <f t="shared" si="145"/>
        <v>644965.87178085884</v>
      </c>
      <c r="CG36" s="88"/>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1" t="s">
        <v>205</v>
      </c>
      <c r="B37" s="260">
        <v>0.3</v>
      </c>
      <c r="C37" s="293">
        <v>-1.4999999999999999E-2</v>
      </c>
      <c r="D37" s="118"/>
      <c r="E37" s="117"/>
      <c r="F37" s="104">
        <f>SUM((IF(AC21*((0*(IF(ISBLANK(E37),C37,E37)))+IF(ISBLANK(D37),B37,D37)) &lt; 0, 0, (AC21*((0*(IF(ISBLANK(E37),C37,E37)))+IF(ISBLANK(D37),B37,D37)))))/3)</f>
        <v>0</v>
      </c>
      <c r="G37" s="70">
        <f>SUM((IF(AH21*((0*(IF(ISBLANK(E37),C37,E37)))+IF(ISBLANK(D37),B37,D37)) &lt; 0, 0, (AH21*((0*(IF(ISBLANK(E37),C37,E37)))+IF(ISBLANK(D37),B37,D37)))))/3)</f>
        <v>0</v>
      </c>
      <c r="H37" s="70">
        <f>SUM((IF(AM21*((0*(IF(ISBLANK(E37),C37,E37)))+IF(ISBLANK(D37),B37,D37)) &lt; 0, 0, (AM21*((0*(IF(ISBLANK(E37),C37,E37)))+IF(ISBLANK(D37),B37,D37)))))/3)</f>
        <v>3383.4890428193812</v>
      </c>
      <c r="I37" s="70">
        <f>SUM((IF(AR21*((1*(IF(ISBLANK(E37),C37,E37)))+IF(ISBLANK(D37),B37,D37)) &lt; 0, 0, (AR21*((1*(IF(ISBLANK(E37),C37,E37)))+IF(ISBLANK(D37),B37,D37)))))/3)</f>
        <v>9152.2406985821708</v>
      </c>
      <c r="J37" s="282">
        <f t="shared" si="146"/>
        <v>37607.189224204652</v>
      </c>
      <c r="K37" s="70">
        <f>SUM((IF(AW21*((2*(IF(ISBLANK(E37),C37,E37)))+IF(ISBLANK(D37),B37,D37)) &lt; 0, 0, (AW21*((2*(IF(ISBLANK(E37),C37,E37)))+IF(ISBLANK(D37),B37,D37)))))/3)</f>
        <v>17541.214839618387</v>
      </c>
      <c r="L37" s="70">
        <f>SUM((IF(BB21*((3*(IF(ISBLANK(E37),C37,E37)))+IF(ISBLANK(D37),B37,D37)) &lt; 0, 0, (BB21*((3*(IF(ISBLANK(E37),C37,E37)))+IF(ISBLANK(D37),B37,D37)))))/3)</f>
        <v>29592.911144362977</v>
      </c>
      <c r="M37" s="70">
        <f>SUM((IF(BG21*((4*(IF(ISBLANK(E37),C37,E37)))+IF(ISBLANK(D37),B37,D37)) &lt; 0, 0, (BG21*((4*(IF(ISBLANK(E37),C37,E37)))+IF(ISBLANK(D37),B37,D37)))))/3)</f>
        <v>48092.15455128724</v>
      </c>
      <c r="N37" s="70">
        <f>SUM((IF(BL21*((5*(IF(ISBLANK(E37),C37,E37)))+IF(ISBLANK(D37),B37,D37)) &lt; 0, 0, (BL21*((5*(IF(ISBLANK(E37),C37,E37)))+IF(ISBLANK(D37),B37,D37)))))/3)</f>
        <v>79280.411843675276</v>
      </c>
      <c r="O37" s="282">
        <f t="shared" si="147"/>
        <v>523520.07713683159</v>
      </c>
      <c r="P37" s="70">
        <f>SUM((IF(BQ21*((6*(IF(ISBLANK(E37),C37,E37)))+IF(ISBLANK(D37),B37,D37)) &lt; 0, 0, (BQ21*((6*(IF(ISBLANK(E37),C37,E37)))+IF(ISBLANK(D37),B37,D37)))))/3)</f>
        <v>133210.77424075271</v>
      </c>
      <c r="Q37" s="70">
        <f>SUM((IF(BV21*((7*(IF(ISBLANK(E37),C37,E37)))+IF(ISBLANK(D37),B37,D37)) &lt; 0, 0, (BV21*((7*(IF(ISBLANK(E37),C37,E37)))+IF(ISBLANK(D37),B37,D37)))))/3)</f>
        <v>227967.72812038779</v>
      </c>
      <c r="R37" s="70">
        <f>SUM((IF(CA21*((8*(IF(ISBLANK(E37),C37,E37)))+IF(ISBLANK(D37),B37,D37)) &lt; 0, 0, (CA21*((8*(IF(ISBLANK(E37),C37,E37)))+IF(ISBLANK(D37),B37,D37)))))/3)</f>
        <v>401909.33326043078</v>
      </c>
      <c r="S37" s="70">
        <f>SUM((IF(CF21*((9*(IF(ISBLANK(E37),C37,E37)))+IF(ISBLANK(D37),B37,D37)) &lt; 0, 0, (CF21*((9*(IF(ISBLANK(E37),C37,E37)))+IF(ISBLANK(D37),B37,D37)))))/3)</f>
        <v>725448.41323392035</v>
      </c>
      <c r="T37" s="305">
        <f t="shared" si="148"/>
        <v>4465608.7465664744</v>
      </c>
      <c r="U37" s="281">
        <f>SUM((IF((U21*U18)*((10*(IF(ISBLANK(E37),C37,E37)))+IF(ISBLANK(D37),B37,D37)) &lt; 0, 0, ((U21*U18)*((10*(IF(ISBLANK(E37),C37,E37)))+IF(ISBLANK(D37),B37,D37))))))</f>
        <v>29568983.243735377</v>
      </c>
      <c r="V37" s="282">
        <f>SUM((IF((V21*V18)*((10*(IF(ISBLANK(E37),C37,E37)))+IF(ISBLANK(D37),B37,D37)) &lt; 0, 0, ((V21*V18)*((10*(IF(ISBLANK(E37),C37,E37)))+IF(ISBLANK(D37),B37,D37))))))</f>
        <v>67681637.60781692</v>
      </c>
      <c r="W37" s="283">
        <f>SUM((IF((W21*W18)*((10*(IF(ISBLANK(E37),C37,E37)))+IF(ISBLANK(D37),B37,D37)) &lt; 0, 0, ((W21*W18)*((10*(IF(ISBLANK(E37),C37,E37)))+IF(ISBLANK(D37),B37,D37))))))</f>
        <v>128804697.8844786</v>
      </c>
      <c r="X37" s="177"/>
      <c r="Y37" s="505">
        <v>0</v>
      </c>
      <c r="Z37" s="70">
        <f t="shared" si="149"/>
        <v>0</v>
      </c>
      <c r="AA37" s="70">
        <f t="shared" si="150"/>
        <v>0</v>
      </c>
      <c r="AB37" s="70">
        <f t="shared" si="151"/>
        <v>0</v>
      </c>
      <c r="AC37" s="282">
        <f>SUM(Z37:AB37)</f>
        <v>0</v>
      </c>
      <c r="AD37" s="74"/>
      <c r="AE37" s="70">
        <f t="shared" si="152"/>
        <v>0</v>
      </c>
      <c r="AF37" s="70">
        <f t="shared" si="153"/>
        <v>0</v>
      </c>
      <c r="AG37" s="70">
        <f t="shared" si="154"/>
        <v>0</v>
      </c>
      <c r="AH37" s="282">
        <f>SUM(AE37:AG37)</f>
        <v>0</v>
      </c>
      <c r="AI37" s="74"/>
      <c r="AJ37" s="70">
        <f t="shared" si="155"/>
        <v>3383.4890428193812</v>
      </c>
      <c r="AK37" s="70">
        <f t="shared" si="156"/>
        <v>3383.4890428193812</v>
      </c>
      <c r="AL37" s="70">
        <f t="shared" si="157"/>
        <v>3383.4890428193812</v>
      </c>
      <c r="AM37" s="282">
        <f>SUM(AJ37:AL37)</f>
        <v>10150.467128458144</v>
      </c>
      <c r="AN37" s="74"/>
      <c r="AO37" s="70">
        <f t="shared" si="158"/>
        <v>9152.2406985821708</v>
      </c>
      <c r="AP37" s="70">
        <f t="shared" si="159"/>
        <v>9152.2406985821708</v>
      </c>
      <c r="AQ37" s="70">
        <f t="shared" si="160"/>
        <v>9152.2406985821708</v>
      </c>
      <c r="AR37" s="282">
        <f>SUM(AO37:AQ37)</f>
        <v>27456.722095746511</v>
      </c>
      <c r="AS37" s="74"/>
      <c r="AT37" s="70">
        <f t="shared" si="161"/>
        <v>17541.214839618387</v>
      </c>
      <c r="AU37" s="70">
        <f t="shared" si="162"/>
        <v>17541.214839618387</v>
      </c>
      <c r="AV37" s="70">
        <f t="shared" si="163"/>
        <v>17541.214839618387</v>
      </c>
      <c r="AW37" s="282">
        <f>SUM(AT37:AV37)</f>
        <v>52623.644518855159</v>
      </c>
      <c r="AX37" s="74"/>
      <c r="AY37" s="70">
        <f t="shared" si="164"/>
        <v>29592.911144362977</v>
      </c>
      <c r="AZ37" s="70">
        <f>L37</f>
        <v>29592.911144362977</v>
      </c>
      <c r="BA37" s="70">
        <f t="shared" si="166"/>
        <v>29592.911144362977</v>
      </c>
      <c r="BB37" s="282">
        <f>SUM(AY37:BA37)</f>
        <v>88778.733433088928</v>
      </c>
      <c r="BC37" s="74"/>
      <c r="BD37" s="70">
        <f t="shared" si="167"/>
        <v>48092.15455128724</v>
      </c>
      <c r="BE37" s="70">
        <f t="shared" si="168"/>
        <v>48092.15455128724</v>
      </c>
      <c r="BF37" s="70">
        <f t="shared" si="169"/>
        <v>48092.15455128724</v>
      </c>
      <c r="BG37" s="282">
        <f>SUM(BD37:BF37)</f>
        <v>144276.46365386172</v>
      </c>
      <c r="BH37" s="74"/>
      <c r="BI37" s="70">
        <f t="shared" si="170"/>
        <v>79280.411843675276</v>
      </c>
      <c r="BJ37" s="70">
        <f t="shared" si="171"/>
        <v>79280.411843675276</v>
      </c>
      <c r="BK37" s="70">
        <f t="shared" si="172"/>
        <v>79280.411843675276</v>
      </c>
      <c r="BL37" s="282">
        <f>SUM(BI37:BK37)</f>
        <v>237841.23553102583</v>
      </c>
      <c r="BM37" s="74"/>
      <c r="BN37" s="70">
        <f t="shared" si="173"/>
        <v>133210.77424075271</v>
      </c>
      <c r="BO37" s="70">
        <f t="shared" si="174"/>
        <v>133210.77424075271</v>
      </c>
      <c r="BP37" s="70">
        <f t="shared" si="175"/>
        <v>133210.77424075271</v>
      </c>
      <c r="BQ37" s="282">
        <f>SUM(BN37:BP37)</f>
        <v>399632.32272225816</v>
      </c>
      <c r="BR37" s="74"/>
      <c r="BS37" s="70">
        <f t="shared" si="176"/>
        <v>227967.72812038779</v>
      </c>
      <c r="BT37" s="70">
        <f t="shared" si="177"/>
        <v>227967.72812038779</v>
      </c>
      <c r="BU37" s="70">
        <f t="shared" si="178"/>
        <v>227967.72812038779</v>
      </c>
      <c r="BV37" s="282">
        <f>SUM(BS37:BU37)</f>
        <v>683903.18436116341</v>
      </c>
      <c r="BW37" s="74"/>
      <c r="BX37" s="70">
        <f t="shared" si="179"/>
        <v>401909.33326043078</v>
      </c>
      <c r="BY37" s="70">
        <f t="shared" si="180"/>
        <v>401909.33326043078</v>
      </c>
      <c r="BZ37" s="70">
        <f t="shared" si="181"/>
        <v>401909.33326043078</v>
      </c>
      <c r="CA37" s="282">
        <f>SUM(BX37:BZ37)</f>
        <v>1205727.9997812924</v>
      </c>
      <c r="CB37" s="74"/>
      <c r="CC37" s="70">
        <f t="shared" si="182"/>
        <v>725448.41323392035</v>
      </c>
      <c r="CD37" s="70">
        <f t="shared" si="183"/>
        <v>725448.41323392035</v>
      </c>
      <c r="CE37" s="70">
        <f t="shared" si="184"/>
        <v>725448.41323392035</v>
      </c>
      <c r="CF37" s="282">
        <f>SUM(CC37:CE37)</f>
        <v>2176345.2397017609</v>
      </c>
      <c r="CG37" s="88"/>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1" t="s">
        <v>206</v>
      </c>
      <c r="B38" s="281">
        <v>2000</v>
      </c>
      <c r="C38" s="305">
        <v>5000</v>
      </c>
      <c r="D38" s="116"/>
      <c r="E38" s="119"/>
      <c r="F38" s="104">
        <f>SUM((IF(ISBLANK(D38),B38,D38)))</f>
        <v>2000</v>
      </c>
      <c r="G38" s="70">
        <f>SUM((IF(ISBLANK(D38),B38,D38)))</f>
        <v>2000</v>
      </c>
      <c r="H38" s="70">
        <f>SUM((IF(ISBLANK(D38),B38,D38)))</f>
        <v>2000</v>
      </c>
      <c r="I38" s="70">
        <f>SUM((IF(ISBLANK(D38),B38,D38)))</f>
        <v>2000</v>
      </c>
      <c r="J38" s="282">
        <f t="shared" si="146"/>
        <v>24000</v>
      </c>
      <c r="K38" s="70">
        <f>SUM((IF(ISBLANK(D38),B38,D38))+(IF(ISBLANK(E38),C38,E38)))</f>
        <v>7000</v>
      </c>
      <c r="L38" s="70">
        <f>SUM((IF(ISBLANK(D38),B38,D38))+(IF(ISBLANK(E38),C38,E38)))</f>
        <v>7000</v>
      </c>
      <c r="M38" s="70">
        <f>SUM((IF(ISBLANK(D38),B38,D38))+(IF(ISBLANK(E38),C38,E38)))</f>
        <v>7000</v>
      </c>
      <c r="N38" s="70">
        <f>SUM((IF(ISBLANK(D38),B38,D38))+(IF(ISBLANK(E38),C38,E38)))</f>
        <v>7000</v>
      </c>
      <c r="O38" s="282">
        <f t="shared" si="147"/>
        <v>84000</v>
      </c>
      <c r="P38" s="70">
        <f>SUM((IF(ISBLANK(D38),B38,D38))+(IF(ISBLANK(E38),C38,E38)))</f>
        <v>7000</v>
      </c>
      <c r="Q38" s="70">
        <f>SUM((IF(ISBLANK(D38),B38,D38))+(IF(ISBLANK(E38),C38,E38)))</f>
        <v>7000</v>
      </c>
      <c r="R38" s="70">
        <f>SUM((IF(ISBLANK(D38),B38,D38))+(IF(ISBLANK(E38),C38,E38)))</f>
        <v>7000</v>
      </c>
      <c r="S38" s="70">
        <f>SUM((IF(ISBLANK(D38),B38,D38))+(IF(ISBLANK(E38),C38,E38)))</f>
        <v>7000</v>
      </c>
      <c r="T38" s="305">
        <f t="shared" si="148"/>
        <v>84000</v>
      </c>
      <c r="U38" s="281">
        <f>SUM(S38*12)</f>
        <v>84000</v>
      </c>
      <c r="V38" s="282">
        <f>SUM(S38*12)</f>
        <v>84000</v>
      </c>
      <c r="W38" s="283">
        <f>SUM(S38*12)</f>
        <v>84000</v>
      </c>
      <c r="X38" s="177"/>
      <c r="Y38" s="505">
        <v>45000</v>
      </c>
      <c r="Z38" s="70">
        <f t="shared" si="149"/>
        <v>2000</v>
      </c>
      <c r="AA38" s="70">
        <f t="shared" si="150"/>
        <v>2000</v>
      </c>
      <c r="AB38" s="70">
        <f t="shared" si="151"/>
        <v>2000</v>
      </c>
      <c r="AC38" s="282">
        <f t="shared" si="134"/>
        <v>6000</v>
      </c>
      <c r="AD38" s="74"/>
      <c r="AE38" s="70">
        <f t="shared" si="152"/>
        <v>2000</v>
      </c>
      <c r="AF38" s="70">
        <f t="shared" si="153"/>
        <v>2000</v>
      </c>
      <c r="AG38" s="70">
        <f t="shared" si="154"/>
        <v>2000</v>
      </c>
      <c r="AH38" s="282">
        <f t="shared" si="135"/>
        <v>6000</v>
      </c>
      <c r="AI38" s="74"/>
      <c r="AJ38" s="70">
        <f t="shared" si="155"/>
        <v>2000</v>
      </c>
      <c r="AK38" s="70">
        <f t="shared" si="156"/>
        <v>2000</v>
      </c>
      <c r="AL38" s="70">
        <f t="shared" si="157"/>
        <v>2000</v>
      </c>
      <c r="AM38" s="282">
        <f t="shared" si="136"/>
        <v>6000</v>
      </c>
      <c r="AN38" s="74"/>
      <c r="AO38" s="70">
        <f t="shared" si="158"/>
        <v>2000</v>
      </c>
      <c r="AP38" s="70">
        <f t="shared" si="159"/>
        <v>2000</v>
      </c>
      <c r="AQ38" s="70">
        <f t="shared" si="160"/>
        <v>2000</v>
      </c>
      <c r="AR38" s="282">
        <f t="shared" si="137"/>
        <v>6000</v>
      </c>
      <c r="AS38" s="74"/>
      <c r="AT38" s="70">
        <f t="shared" si="161"/>
        <v>7000</v>
      </c>
      <c r="AU38" s="70">
        <f t="shared" si="162"/>
        <v>7000</v>
      </c>
      <c r="AV38" s="70">
        <f t="shared" si="163"/>
        <v>7000</v>
      </c>
      <c r="AW38" s="282">
        <f t="shared" si="138"/>
        <v>21000</v>
      </c>
      <c r="AX38" s="74"/>
      <c r="AY38" s="70">
        <f t="shared" si="164"/>
        <v>7000</v>
      </c>
      <c r="AZ38" s="70">
        <f t="shared" si="165"/>
        <v>7000</v>
      </c>
      <c r="BA38" s="70">
        <f t="shared" si="166"/>
        <v>7000</v>
      </c>
      <c r="BB38" s="282">
        <f t="shared" si="139"/>
        <v>21000</v>
      </c>
      <c r="BC38" s="74"/>
      <c r="BD38" s="70">
        <f t="shared" si="167"/>
        <v>7000</v>
      </c>
      <c r="BE38" s="70">
        <f t="shared" si="168"/>
        <v>7000</v>
      </c>
      <c r="BF38" s="70">
        <f t="shared" si="169"/>
        <v>7000</v>
      </c>
      <c r="BG38" s="282">
        <f t="shared" si="140"/>
        <v>21000</v>
      </c>
      <c r="BH38" s="74"/>
      <c r="BI38" s="70">
        <f t="shared" si="170"/>
        <v>7000</v>
      </c>
      <c r="BJ38" s="70">
        <f t="shared" si="171"/>
        <v>7000</v>
      </c>
      <c r="BK38" s="70">
        <f t="shared" si="172"/>
        <v>7000</v>
      </c>
      <c r="BL38" s="282">
        <f t="shared" si="141"/>
        <v>21000</v>
      </c>
      <c r="BM38" s="74"/>
      <c r="BN38" s="70">
        <f t="shared" si="173"/>
        <v>7000</v>
      </c>
      <c r="BO38" s="70">
        <f t="shared" si="174"/>
        <v>7000</v>
      </c>
      <c r="BP38" s="70">
        <f t="shared" si="175"/>
        <v>7000</v>
      </c>
      <c r="BQ38" s="282">
        <f t="shared" si="142"/>
        <v>21000</v>
      </c>
      <c r="BR38" s="74"/>
      <c r="BS38" s="70">
        <f t="shared" si="176"/>
        <v>7000</v>
      </c>
      <c r="BT38" s="70">
        <f t="shared" si="177"/>
        <v>7000</v>
      </c>
      <c r="BU38" s="70">
        <f t="shared" si="178"/>
        <v>7000</v>
      </c>
      <c r="BV38" s="282">
        <f t="shared" si="143"/>
        <v>21000</v>
      </c>
      <c r="BW38" s="74"/>
      <c r="BX38" s="70">
        <f t="shared" si="179"/>
        <v>7000</v>
      </c>
      <c r="BY38" s="70">
        <f t="shared" si="180"/>
        <v>7000</v>
      </c>
      <c r="BZ38" s="70">
        <f t="shared" si="181"/>
        <v>7000</v>
      </c>
      <c r="CA38" s="282">
        <f t="shared" si="144"/>
        <v>21000</v>
      </c>
      <c r="CB38" s="74"/>
      <c r="CC38" s="70">
        <f t="shared" si="182"/>
        <v>7000</v>
      </c>
      <c r="CD38" s="70">
        <f t="shared" si="183"/>
        <v>7000</v>
      </c>
      <c r="CE38" s="70">
        <f t="shared" si="184"/>
        <v>7000</v>
      </c>
      <c r="CF38" s="282">
        <f t="shared" si="145"/>
        <v>21000</v>
      </c>
      <c r="CG38" s="88"/>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1" t="s">
        <v>271</v>
      </c>
      <c r="B39" s="260">
        <v>0.2</v>
      </c>
      <c r="C39" s="293">
        <v>0</v>
      </c>
      <c r="D39" s="118"/>
      <c r="E39" s="117"/>
      <c r="F39" s="130">
        <v>0</v>
      </c>
      <c r="G39" s="70">
        <f>IF(IF(F30&gt;0,F30*((0*(IF(ISBLANK(E39),C39,E39)))+(IF(ISBLANK(D39),B39,D39))),0)&lt;0,0,IF(F30&gt;0,F30*((0*(IF(ISBLANK(E39),C39,E39)))+(IF(ISBLANK(D39),B39,D39))),0))/3</f>
        <v>0</v>
      </c>
      <c r="H39" s="70">
        <f>IF(IF(G30&gt;0,G30*((0*(IF(ISBLANK(E39),C39,E39)))+(IF(ISBLANK(D39),B39,D39))),0)&lt;0,0,IF(G30&gt;0,G30*((0*(IF(ISBLANK(E39),C39,E39)))+(IF(ISBLANK(D39),B39,D39))),0))/3</f>
        <v>0</v>
      </c>
      <c r="I39" s="70">
        <f>IF(IF(H30&gt;0,H30*((1*(IF(ISBLANK(E39),C39,E39)))+(IF(ISBLANK(D39),B39,D39))),0)&lt;0,0,IF(H30&gt;0,H30*((1*(IF(ISBLANK(E39),C39,E39)))+(IF(ISBLANK(D39),B39,D39))),0))/3</f>
        <v>2255.6593618795878</v>
      </c>
      <c r="J39" s="282">
        <f t="shared" si="146"/>
        <v>6766.9780856387633</v>
      </c>
      <c r="K39" s="70">
        <f>IF(IF(I30&gt;0,I30*((2*(IF(ISBLANK(E39),C39,E39)))+(IF(ISBLANK(D39),B39,D39))),0)&lt;0,0,IF(I30&gt;0,I30*((2*(IF(ISBLANK(E39),C39,E39)))+(IF(ISBLANK(D39),B39,D39))),0))/3</f>
        <v>10591.697453576166</v>
      </c>
      <c r="L39" s="70">
        <f>IF(IF(K30&gt;0,K30*((3*(IF(ISBLANK(E39),C39,E39)))+(IF(ISBLANK(D39),B39,D39))),0)&lt;0,0,IF(K30&gt;0,K30*((3*(IF(ISBLANK(E39),C39,E39)))+(IF(ISBLANK(D39),B39,D39))),0))/3</f>
        <v>27205.124867000737</v>
      </c>
      <c r="M39" s="70">
        <f>IF(IF(L30&gt;0,L30*((4*(IF(ISBLANK(E39),C39,E39)))+(IF(ISBLANK(D39),B39,D39))),0)&lt;0,0,IF(L30&gt;0,L30*((4*(IF(ISBLANK(E39),C39,E39)))+(IF(ISBLANK(D39),B39,D39))),0))/3</f>
        <v>56227.348432261068</v>
      </c>
      <c r="N39" s="70">
        <f>IF(IF(M30&gt;0,M30*((5*(IF(ISBLANK(E39),C39,E39)))+(IF(ISBLANK(D39),B39,D39))),0)&lt;0,0,IF(M30&gt;0,M30*((5*(IF(ISBLANK(E39),C39,E39)))+(IF(ISBLANK(D39),B39,D39))),0))/3</f>
        <v>107899.06469840085</v>
      </c>
      <c r="O39" s="282">
        <f t="shared" si="147"/>
        <v>605769.70635371655</v>
      </c>
      <c r="P39" s="70">
        <f>IF(IF(N30&gt;0,N30*((6*(IF(ISBLANK(E39),C39,E39)))+(IF(ISBLANK(D39),B39,D39))),0)&lt;0,0,IF(N30&gt;0,N30*((6*(IF(ISBLANK(E39),C39,E39)))+(IF(ISBLANK(D39),B39,D39))),0))/3</f>
        <v>205610.89816712646</v>
      </c>
      <c r="Q39" s="70">
        <f>IF(IF(P30&gt;0,P30*((7*(IF(ISBLANK(E39),C39,E39)))+(IF(ISBLANK(D39),B39,D39))),0)&lt;0,0,IF(P30&gt;0,P30*((7*(IF(ISBLANK(E39),C39,E39)))+(IF(ISBLANK(D39),B39,D39))),0))/3</f>
        <v>412319.06312613934</v>
      </c>
      <c r="R39" s="70">
        <f>IF(IF(Q30&gt;0,Q30*((8*(IF(ISBLANK(E39),C39,E39)))+(IF(ISBLANK(D39),B39,D39))),0)&lt;0,0,IF(Q30&gt;0,Q30*((8*(IF(ISBLANK(E39),C39,E39)))+(IF(ISBLANK(D39),B39,D39))),0))/3</f>
        <v>812441.32062588364</v>
      </c>
      <c r="S39" s="70">
        <f>IF(IF(R30&gt;0,R30*((9*(IF(ISBLANK(E39),C39,E39)))+(IF(ISBLANK(D39),B39,D39))),0)&lt;0,0,IF(R30&gt;0,R30*((9*(IF(ISBLANK(E39),C39,E39)))+(IF(ISBLANK(D39),B39,D39))),0))/3</f>
        <v>1638812.6901290107</v>
      </c>
      <c r="T39" s="305">
        <f t="shared" si="148"/>
        <v>9207551.9161444809</v>
      </c>
      <c r="U39" s="281">
        <f>SUM((U30*(IF(ISBLANK(D39),B39,D39)+(10*IF(ISBLANK(E39),C39,E39))))+(S30*(IF(ISBLANK(D39),B39,D39)+(10*IF(ISBLANK(E39),C39,E39)))))</f>
        <v>120554354.95933354</v>
      </c>
      <c r="V39" s="282">
        <f>SUM((V30*(IF(ISBLANK(D39),B39,D39)+(11*IF(ISBLANK(E39),C39,E39)))))</f>
        <v>291788458.61862206</v>
      </c>
      <c r="W39" s="283">
        <f>SUM((W30*(IF(ISBLANK(D39),B39,D39)+(12*IF(ISBLANK(E39),C39,E39)))))</f>
        <v>615300536.15709198</v>
      </c>
      <c r="X39" s="177"/>
      <c r="Y39" s="505">
        <v>0</v>
      </c>
      <c r="Z39" s="70">
        <f>F39</f>
        <v>0</v>
      </c>
      <c r="AA39" s="70">
        <f>F39</f>
        <v>0</v>
      </c>
      <c r="AB39" s="70">
        <f>F39</f>
        <v>0</v>
      </c>
      <c r="AC39" s="282">
        <f t="shared" si="134"/>
        <v>0</v>
      </c>
      <c r="AD39" s="74"/>
      <c r="AE39" s="70">
        <f>G39</f>
        <v>0</v>
      </c>
      <c r="AF39" s="70">
        <f>G39</f>
        <v>0</v>
      </c>
      <c r="AG39" s="70">
        <f>G39</f>
        <v>0</v>
      </c>
      <c r="AH39" s="282">
        <f t="shared" si="135"/>
        <v>0</v>
      </c>
      <c r="AI39" s="74"/>
      <c r="AJ39" s="70">
        <f>H39</f>
        <v>0</v>
      </c>
      <c r="AK39" s="70">
        <f>H39</f>
        <v>0</v>
      </c>
      <c r="AL39" s="70">
        <f>H39</f>
        <v>0</v>
      </c>
      <c r="AM39" s="282">
        <f t="shared" si="136"/>
        <v>0</v>
      </c>
      <c r="AN39" s="74"/>
      <c r="AO39" s="70">
        <f>I39</f>
        <v>2255.6593618795878</v>
      </c>
      <c r="AP39" s="70">
        <f>I39</f>
        <v>2255.6593618795878</v>
      </c>
      <c r="AQ39" s="70">
        <f>I39</f>
        <v>2255.6593618795878</v>
      </c>
      <c r="AR39" s="282">
        <f t="shared" si="137"/>
        <v>6766.9780856387633</v>
      </c>
      <c r="AS39" s="74"/>
      <c r="AT39" s="70">
        <f>K39</f>
        <v>10591.697453576166</v>
      </c>
      <c r="AU39" s="70">
        <f>K39</f>
        <v>10591.697453576166</v>
      </c>
      <c r="AV39" s="70">
        <f>K39</f>
        <v>10591.697453576166</v>
      </c>
      <c r="AW39" s="282">
        <f t="shared" si="138"/>
        <v>31775.092360728497</v>
      </c>
      <c r="AX39" s="74"/>
      <c r="AY39" s="70">
        <f>L39</f>
        <v>27205.124867000737</v>
      </c>
      <c r="AZ39" s="70">
        <f>L39</f>
        <v>27205.124867000737</v>
      </c>
      <c r="BA39" s="70">
        <f>L39</f>
        <v>27205.124867000737</v>
      </c>
      <c r="BB39" s="282">
        <f t="shared" si="139"/>
        <v>81615.374601002215</v>
      </c>
      <c r="BC39" s="74"/>
      <c r="BD39" s="70">
        <f>M39</f>
        <v>56227.348432261068</v>
      </c>
      <c r="BE39" s="70">
        <f>M39</f>
        <v>56227.348432261068</v>
      </c>
      <c r="BF39" s="70">
        <f>M39</f>
        <v>56227.348432261068</v>
      </c>
      <c r="BG39" s="282">
        <f t="shared" si="140"/>
        <v>168682.04529678321</v>
      </c>
      <c r="BH39" s="74"/>
      <c r="BI39" s="70">
        <f>N39</f>
        <v>107899.06469840085</v>
      </c>
      <c r="BJ39" s="70">
        <f>N39</f>
        <v>107899.06469840085</v>
      </c>
      <c r="BK39" s="70">
        <f>N39</f>
        <v>107899.06469840085</v>
      </c>
      <c r="BL39" s="282">
        <f t="shared" si="141"/>
        <v>323697.19409520255</v>
      </c>
      <c r="BM39" s="74"/>
      <c r="BN39" s="70">
        <f>P39</f>
        <v>205610.89816712646</v>
      </c>
      <c r="BO39" s="70">
        <f>P39</f>
        <v>205610.89816712646</v>
      </c>
      <c r="BP39" s="70">
        <f>P39</f>
        <v>205610.89816712646</v>
      </c>
      <c r="BQ39" s="282">
        <f t="shared" si="142"/>
        <v>616832.69450137939</v>
      </c>
      <c r="BR39" s="74"/>
      <c r="BS39" s="70">
        <f>Q39</f>
        <v>412319.06312613934</v>
      </c>
      <c r="BT39" s="70">
        <f>Q39</f>
        <v>412319.06312613934</v>
      </c>
      <c r="BU39" s="70">
        <f>Q39</f>
        <v>412319.06312613934</v>
      </c>
      <c r="BV39" s="282">
        <f t="shared" si="143"/>
        <v>1236957.189378418</v>
      </c>
      <c r="BW39" s="74"/>
      <c r="BX39" s="70">
        <f>R39</f>
        <v>812441.32062588364</v>
      </c>
      <c r="BY39" s="70">
        <f>R39</f>
        <v>812441.32062588364</v>
      </c>
      <c r="BZ39" s="70">
        <f>R39</f>
        <v>812441.32062588364</v>
      </c>
      <c r="CA39" s="282">
        <f t="shared" si="144"/>
        <v>2437323.961877651</v>
      </c>
      <c r="CB39" s="74"/>
      <c r="CC39" s="70">
        <f>S39</f>
        <v>1638812.6901290107</v>
      </c>
      <c r="CD39" s="70">
        <f>S39</f>
        <v>1638812.6901290107</v>
      </c>
      <c r="CE39" s="70">
        <f>S39</f>
        <v>1638812.6901290107</v>
      </c>
      <c r="CF39" s="282">
        <f t="shared" si="145"/>
        <v>4916438.0703870319</v>
      </c>
      <c r="CG39" s="88"/>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1" t="s">
        <v>272</v>
      </c>
      <c r="B40" s="260">
        <v>0.25</v>
      </c>
      <c r="C40" s="293">
        <v>0</v>
      </c>
      <c r="D40" s="118"/>
      <c r="E40" s="117"/>
      <c r="F40" s="130">
        <v>0</v>
      </c>
      <c r="G40" s="70">
        <f>IF(IF(F49&gt;0,F49*((0*(IF(ISBLANK(E40),C40,E40)))+(IF(ISBLANK(D40),B40,D40))),0)&lt;0,0,IF(F49&gt;0,F49*((0*(IF(ISBLANK(E40),C40,E40)))+(IF(ISBLANK(D40),B40,D40))),0))/3</f>
        <v>0</v>
      </c>
      <c r="H40" s="70">
        <f>IF(IF(G49&gt;0,G49*((0*(IF(ISBLANK(E40),C40,E40)))+(IF(ISBLANK(D40),B40,D40))),0)&lt;0,0,IF(G49&gt;0,G49*((0*(IF(ISBLANK(E40),C40,E40)))+(IF(ISBLANK(D40),B40,D40))),0))/3</f>
        <v>0</v>
      </c>
      <c r="I40" s="70">
        <f>IF(IF(H49&gt;0,H49*((1*(IF(ISBLANK(E40),C40,E40)))+(IF(ISBLANK(D40),B40,D40))),0)&lt;0,0,IF(H49&gt;0,H49*((1*(IF(ISBLANK(E40),C40,E40)))+(IF(ISBLANK(D40),B40,D40))),0))/3</f>
        <v>0</v>
      </c>
      <c r="J40" s="282">
        <f t="shared" si="146"/>
        <v>0</v>
      </c>
      <c r="K40" s="70">
        <f>IF(IF(I49&gt;0,I49*((2*(IF(ISBLANK(E40),C40,E40)))+(IF(ISBLANK(D40),B40,D40))),0)&lt;0,0,IF(I49&gt;0,I49*((2*(IF(ISBLANK(E40),C40,E40)))+(IF(ISBLANK(D40),B40,D40))),0))/3</f>
        <v>0</v>
      </c>
      <c r="L40" s="70">
        <f>IF(IF(K49&gt;0,K49*((3*(IF(ISBLANK(E40),C40,E40)))+(IF(ISBLANK(D40),B40,D40))),0)&lt;0,0,IF(K49&gt;0,K49*((3*(IF(ISBLANK(E40),C40,E40)))+(IF(ISBLANK(D40),B40,D40))),0))/3</f>
        <v>0</v>
      </c>
      <c r="M40" s="70">
        <f>IF(IF(L49&gt;0,L49*((4*(IF(ISBLANK(E40),C40,E40)))+(IF(ISBLANK(D40),B40,D40))),0)&lt;0,0,IF(L49&gt;0,L49*((4*(IF(ISBLANK(E40),C40,E40)))+(IF(ISBLANK(D40),B40,D40))),0))/3</f>
        <v>925.3029968855941</v>
      </c>
      <c r="N40" s="70">
        <f>IF(IF(M49&gt;0,M49*((5*(IF(ISBLANK(E40),C40,E40)))+(IF(ISBLANK(D40),B40,D40))),0)&lt;0,0,IF(M49&gt;0,M49*((5*(IF(ISBLANK(E40),C40,E40)))+(IF(ISBLANK(D40),B40,D40))),0))/3</f>
        <v>11002.651056803859</v>
      </c>
      <c r="O40" s="282">
        <f t="shared" si="147"/>
        <v>35783.862161068362</v>
      </c>
      <c r="P40" s="70">
        <f>IF(IF(N49&gt;0,N49*((6*(IF(ISBLANK(E40),C40,E40)))+(IF(ISBLANK(D40),B40,D40))),0)&lt;0,0,IF(N49&gt;0,N49*((6*(IF(ISBLANK(E40),C40,E40)))+(IF(ISBLANK(D40),B40,D40))),0))/3</f>
        <v>38167.911848262847</v>
      </c>
      <c r="Q40" s="70">
        <f>IF(IF(P49&gt;0,P49*((7*(IF(ISBLANK(E40),C40,E40)))+(IF(ISBLANK(D40),B40,D40))),0)&lt;0,0,IF(P49&gt;0,P49*((7*(IF(ISBLANK(E40),C40,E40)))+(IF(ISBLANK(D40),B40,D40))),0))/3</f>
        <v>125255.20449411962</v>
      </c>
      <c r="R40" s="70">
        <f>IF(IF(Q49&gt;0,Q49*((8*(IF(ISBLANK(E40),C40,E40)))+(IF(ISBLANK(D40),B40,D40))),0)&lt;0,0,IF(Q49&gt;0,Q49*((8*(IF(ISBLANK(E40),C40,E40)))+(IF(ISBLANK(D40),B40,D40))),0))/3</f>
        <v>302565.6485468857</v>
      </c>
      <c r="S40" s="70">
        <f>IF(IF(R49&gt;0,R49*((9*(IF(ISBLANK(E40),C40,E40)))+(IF(ISBLANK(D40),B40,D40))),0)&lt;0,0,IF(R49&gt;0,R49*((9*(IF(ISBLANK(E40),C40,E40)))+(IF(ISBLANK(D40),B40,D40))),0))/3</f>
        <v>756746.10686109855</v>
      </c>
      <c r="T40" s="305">
        <f t="shared" si="148"/>
        <v>3668204.6152511002</v>
      </c>
      <c r="U40" s="281">
        <f>SUM(IF(S49&lt;0,0,S49*((10*(IF(ISBLANK(E40),C40,E40)))+(IF(ISBLANK(D40),B40,D40)))))</f>
        <v>5524616.315663144</v>
      </c>
      <c r="V40" s="282">
        <f>SUM(IF(U49&lt;0,0,U49*((11*(IF(ISBLANK(E40),C40,E40)))+(IF(ISBLANK(D40),B40,D40)))))</f>
        <v>51461031.713587552</v>
      </c>
      <c r="W40" s="283">
        <f>SUM(IF(V49&lt;0,0,V49*((12*(IF(ISBLANK(E40),C40,E40)))+(IF(ISBLANK(D40),B40,D40)))))</f>
        <v>198616205.72174203</v>
      </c>
      <c r="X40" s="177"/>
      <c r="Y40" s="505">
        <v>0</v>
      </c>
      <c r="Z40" s="70">
        <f>F40</f>
        <v>0</v>
      </c>
      <c r="AA40" s="70">
        <f>F40</f>
        <v>0</v>
      </c>
      <c r="AB40" s="70">
        <f>F40</f>
        <v>0</v>
      </c>
      <c r="AC40" s="282">
        <f t="shared" si="134"/>
        <v>0</v>
      </c>
      <c r="AD40" s="74"/>
      <c r="AE40" s="70">
        <f>G40</f>
        <v>0</v>
      </c>
      <c r="AF40" s="70">
        <f>G40</f>
        <v>0</v>
      </c>
      <c r="AG40" s="70">
        <f>G40</f>
        <v>0</v>
      </c>
      <c r="AH40" s="282">
        <f t="shared" si="135"/>
        <v>0</v>
      </c>
      <c r="AI40" s="74"/>
      <c r="AJ40" s="70">
        <f>H40</f>
        <v>0</v>
      </c>
      <c r="AK40" s="70">
        <f>H40</f>
        <v>0</v>
      </c>
      <c r="AL40" s="70">
        <f>H40</f>
        <v>0</v>
      </c>
      <c r="AM40" s="282">
        <f t="shared" si="136"/>
        <v>0</v>
      </c>
      <c r="AN40" s="74"/>
      <c r="AO40" s="70">
        <f>I40</f>
        <v>0</v>
      </c>
      <c r="AP40" s="70">
        <f>I40</f>
        <v>0</v>
      </c>
      <c r="AQ40" s="70">
        <f>I40</f>
        <v>0</v>
      </c>
      <c r="AR40" s="282">
        <f t="shared" si="137"/>
        <v>0</v>
      </c>
      <c r="AS40" s="74"/>
      <c r="AT40" s="70">
        <f>K40</f>
        <v>0</v>
      </c>
      <c r="AU40" s="70">
        <f>K40</f>
        <v>0</v>
      </c>
      <c r="AV40" s="70">
        <f>K40</f>
        <v>0</v>
      </c>
      <c r="AW40" s="282">
        <f t="shared" si="138"/>
        <v>0</v>
      </c>
      <c r="AX40" s="74"/>
      <c r="AY40" s="70">
        <f>L40</f>
        <v>0</v>
      </c>
      <c r="AZ40" s="70">
        <f>L40</f>
        <v>0</v>
      </c>
      <c r="BA40" s="70">
        <f>L40</f>
        <v>0</v>
      </c>
      <c r="BB40" s="282">
        <f t="shared" si="139"/>
        <v>0</v>
      </c>
      <c r="BC40" s="74"/>
      <c r="BD40" s="70">
        <f>M40</f>
        <v>925.3029968855941</v>
      </c>
      <c r="BE40" s="70">
        <f>M40</f>
        <v>925.3029968855941</v>
      </c>
      <c r="BF40" s="70">
        <f>M40</f>
        <v>925.3029968855941</v>
      </c>
      <c r="BG40" s="282">
        <f t="shared" si="140"/>
        <v>2775.9089906567824</v>
      </c>
      <c r="BH40" s="74"/>
      <c r="BI40" s="70">
        <f>N40</f>
        <v>11002.651056803859</v>
      </c>
      <c r="BJ40" s="70">
        <f>N40</f>
        <v>11002.651056803859</v>
      </c>
      <c r="BK40" s="70">
        <f>N40</f>
        <v>11002.651056803859</v>
      </c>
      <c r="BL40" s="282">
        <f t="shared" si="141"/>
        <v>33007.95317041158</v>
      </c>
      <c r="BM40" s="74"/>
      <c r="BN40" s="70">
        <f>P40</f>
        <v>38167.911848262847</v>
      </c>
      <c r="BO40" s="70">
        <f>P40</f>
        <v>38167.911848262847</v>
      </c>
      <c r="BP40" s="70">
        <f>P40</f>
        <v>38167.911848262847</v>
      </c>
      <c r="BQ40" s="282">
        <f t="shared" si="142"/>
        <v>114503.73554478853</v>
      </c>
      <c r="BR40" s="74"/>
      <c r="BS40" s="70">
        <f>Q40</f>
        <v>125255.20449411962</v>
      </c>
      <c r="BT40" s="70">
        <f>Q40</f>
        <v>125255.20449411962</v>
      </c>
      <c r="BU40" s="70">
        <f>Q40</f>
        <v>125255.20449411962</v>
      </c>
      <c r="BV40" s="282">
        <f t="shared" si="143"/>
        <v>375765.61348235887</v>
      </c>
      <c r="BW40" s="74"/>
      <c r="BX40" s="70">
        <f>R40</f>
        <v>302565.6485468857</v>
      </c>
      <c r="BY40" s="70">
        <f>R40</f>
        <v>302565.6485468857</v>
      </c>
      <c r="BZ40" s="70">
        <f>R40</f>
        <v>302565.6485468857</v>
      </c>
      <c r="CA40" s="282">
        <f t="shared" si="144"/>
        <v>907696.9456406571</v>
      </c>
      <c r="CB40" s="74"/>
      <c r="CC40" s="70">
        <f>S40</f>
        <v>756746.10686109855</v>
      </c>
      <c r="CD40" s="70">
        <f>S40</f>
        <v>756746.10686109855</v>
      </c>
      <c r="CE40" s="70">
        <f>S40</f>
        <v>756746.10686109855</v>
      </c>
      <c r="CF40" s="282">
        <f t="shared" si="145"/>
        <v>2270238.3205832955</v>
      </c>
      <c r="CG40" s="88"/>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1" t="s">
        <v>273</v>
      </c>
      <c r="B41" s="281">
        <v>2500</v>
      </c>
      <c r="C41" s="481">
        <v>2000</v>
      </c>
      <c r="D41" s="116"/>
      <c r="E41" s="119"/>
      <c r="F41" s="104">
        <f>IF(ISBLANK(D41),B41,D41)</f>
        <v>2500</v>
      </c>
      <c r="G41" s="70">
        <f>SUM((IF(F49&gt;0,IF(ISBLANK(E41),C41,E41),0)+F41))</f>
        <v>2500</v>
      </c>
      <c r="H41" s="70">
        <f>SUM((IF(G49&gt;0,IF(ISBLANK(E41),C41,E41),0)+G41))</f>
        <v>2500</v>
      </c>
      <c r="I41" s="70">
        <f>SUM((IF(H49&gt;0,IF(ISBLANK(E41),C41,E41),0)+H41))</f>
        <v>2500</v>
      </c>
      <c r="J41" s="282">
        <f t="shared" si="146"/>
        <v>30000</v>
      </c>
      <c r="K41" s="70">
        <f>SUM((IF(I49&gt;0,IF(ISBLANK(E41),C41,E41),0)+I41))</f>
        <v>2500</v>
      </c>
      <c r="L41" s="70">
        <f>SUM((IF(K49&gt;0,IF(ISBLANK(E41),C41,E41),0)+K41))</f>
        <v>2500</v>
      </c>
      <c r="M41" s="70">
        <f>SUM((IF(L49&gt;0,IF(ISBLANK(E41),C41,E41),0)+L41))</f>
        <v>4500</v>
      </c>
      <c r="N41" s="70">
        <f>SUM((IF(M49&gt;0,IF(ISBLANK(E41),C41,E41),0)+M41))</f>
        <v>6500</v>
      </c>
      <c r="O41" s="282">
        <f t="shared" si="147"/>
        <v>48000</v>
      </c>
      <c r="P41" s="70">
        <f>SUM((IF(N49&gt;0,IF(ISBLANK(E41),C41,E41),0)+N41))</f>
        <v>8500</v>
      </c>
      <c r="Q41" s="70">
        <f>SUM((IF(P49&gt;0,IF(ISBLANK(E41),C41,E41),0)+P41))</f>
        <v>10500</v>
      </c>
      <c r="R41" s="70">
        <f>SUM((IF(Q49&gt;0,IF(ISBLANK(E41),C41,E41),0)+Q41))</f>
        <v>12500</v>
      </c>
      <c r="S41" s="70">
        <f>SUM((IF(R49&gt;0,IF(ISBLANK(E41),C41,E41),0)+R41))</f>
        <v>14500</v>
      </c>
      <c r="T41" s="305">
        <f t="shared" si="148"/>
        <v>138000</v>
      </c>
      <c r="U41" s="281">
        <f>SUM((IF(S49&gt;0,IF(ISBLANK(E41),C41,E41),0)+S41))</f>
        <v>16500</v>
      </c>
      <c r="V41" s="282">
        <f>SUM((IF(U49&gt;0,IF(ISBLANK(E41),C41,E41),0)+U41))</f>
        <v>18500</v>
      </c>
      <c r="W41" s="283">
        <f>SUM((IF(V49&gt;0,IF(ISBLANK(E41),C41,E41),0)+V41))</f>
        <v>20500</v>
      </c>
      <c r="X41" s="177"/>
      <c r="Y41" s="505">
        <v>55000</v>
      </c>
      <c r="Z41" s="70">
        <f t="shared" si="149"/>
        <v>2500</v>
      </c>
      <c r="AA41" s="70">
        <f t="shared" si="150"/>
        <v>2500</v>
      </c>
      <c r="AB41" s="70">
        <f t="shared" si="151"/>
        <v>2500</v>
      </c>
      <c r="AC41" s="282">
        <f t="shared" si="134"/>
        <v>7500</v>
      </c>
      <c r="AD41" s="74"/>
      <c r="AE41" s="70">
        <f t="shared" si="152"/>
        <v>2500</v>
      </c>
      <c r="AF41" s="70">
        <f>G41</f>
        <v>2500</v>
      </c>
      <c r="AG41" s="70">
        <f>G41</f>
        <v>2500</v>
      </c>
      <c r="AH41" s="282">
        <f t="shared" si="135"/>
        <v>7500</v>
      </c>
      <c r="AI41" s="74"/>
      <c r="AJ41" s="70">
        <f>H41</f>
        <v>2500</v>
      </c>
      <c r="AK41" s="70">
        <f>H41</f>
        <v>2500</v>
      </c>
      <c r="AL41" s="70">
        <f>H41</f>
        <v>2500</v>
      </c>
      <c r="AM41" s="282">
        <f t="shared" si="136"/>
        <v>7500</v>
      </c>
      <c r="AN41" s="74"/>
      <c r="AO41" s="70">
        <f t="shared" si="158"/>
        <v>2500</v>
      </c>
      <c r="AP41" s="70">
        <f t="shared" si="159"/>
        <v>2500</v>
      </c>
      <c r="AQ41" s="70">
        <f t="shared" si="160"/>
        <v>2500</v>
      </c>
      <c r="AR41" s="282">
        <f t="shared" si="137"/>
        <v>7500</v>
      </c>
      <c r="AS41" s="74"/>
      <c r="AT41" s="70">
        <f t="shared" si="161"/>
        <v>2500</v>
      </c>
      <c r="AU41" s="70">
        <f t="shared" si="162"/>
        <v>2500</v>
      </c>
      <c r="AV41" s="70">
        <f t="shared" si="163"/>
        <v>2500</v>
      </c>
      <c r="AW41" s="282">
        <f t="shared" si="138"/>
        <v>7500</v>
      </c>
      <c r="AX41" s="74"/>
      <c r="AY41" s="70">
        <f t="shared" si="164"/>
        <v>2500</v>
      </c>
      <c r="AZ41" s="70">
        <f t="shared" si="165"/>
        <v>2500</v>
      </c>
      <c r="BA41" s="70">
        <f t="shared" si="166"/>
        <v>2500</v>
      </c>
      <c r="BB41" s="282">
        <f t="shared" si="139"/>
        <v>7500</v>
      </c>
      <c r="BC41" s="74"/>
      <c r="BD41" s="70">
        <f t="shared" si="167"/>
        <v>4500</v>
      </c>
      <c r="BE41" s="70">
        <f t="shared" si="168"/>
        <v>4500</v>
      </c>
      <c r="BF41" s="70">
        <f t="shared" si="169"/>
        <v>4500</v>
      </c>
      <c r="BG41" s="282">
        <f t="shared" si="140"/>
        <v>13500</v>
      </c>
      <c r="BH41" s="74"/>
      <c r="BI41" s="70">
        <f>N41</f>
        <v>6500</v>
      </c>
      <c r="BJ41" s="70">
        <f t="shared" si="171"/>
        <v>6500</v>
      </c>
      <c r="BK41" s="70">
        <f t="shared" si="172"/>
        <v>6500</v>
      </c>
      <c r="BL41" s="282">
        <f t="shared" si="141"/>
        <v>19500</v>
      </c>
      <c r="BM41" s="74"/>
      <c r="BN41" s="70">
        <f t="shared" si="173"/>
        <v>8500</v>
      </c>
      <c r="BO41" s="70">
        <f t="shared" si="174"/>
        <v>8500</v>
      </c>
      <c r="BP41" s="70">
        <f t="shared" si="175"/>
        <v>8500</v>
      </c>
      <c r="BQ41" s="282">
        <f t="shared" si="142"/>
        <v>25500</v>
      </c>
      <c r="BR41" s="74"/>
      <c r="BS41" s="70">
        <f t="shared" si="176"/>
        <v>10500</v>
      </c>
      <c r="BT41" s="70">
        <f t="shared" si="177"/>
        <v>10500</v>
      </c>
      <c r="BU41" s="70">
        <f t="shared" si="178"/>
        <v>10500</v>
      </c>
      <c r="BV41" s="282">
        <f t="shared" si="143"/>
        <v>31500</v>
      </c>
      <c r="BW41" s="74"/>
      <c r="BX41" s="70">
        <f t="shared" si="179"/>
        <v>12500</v>
      </c>
      <c r="BY41" s="70">
        <f t="shared" si="180"/>
        <v>12500</v>
      </c>
      <c r="BZ41" s="70">
        <f t="shared" si="181"/>
        <v>12500</v>
      </c>
      <c r="CA41" s="282">
        <f t="shared" si="144"/>
        <v>37500</v>
      </c>
      <c r="CB41" s="74"/>
      <c r="CC41" s="70">
        <f t="shared" si="182"/>
        <v>14500</v>
      </c>
      <c r="CD41" s="70">
        <f t="shared" si="183"/>
        <v>14500</v>
      </c>
      <c r="CE41" s="70">
        <f t="shared" si="184"/>
        <v>14500</v>
      </c>
      <c r="CF41" s="282">
        <f t="shared" si="145"/>
        <v>43500</v>
      </c>
      <c r="CG41" s="88"/>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1" t="s">
        <v>274</v>
      </c>
      <c r="B42" s="281">
        <v>2000</v>
      </c>
      <c r="C42" s="304">
        <v>0.01</v>
      </c>
      <c r="D42" s="116"/>
      <c r="E42" s="120"/>
      <c r="F42" s="104">
        <f>SUM((IF(ISBLANK(D42),B42,D42))+(IF(ISBLANK(E42),C42,E42)*F18))</f>
        <v>2021.4521407384641</v>
      </c>
      <c r="G42" s="70">
        <f>SUM((IF(ISBLANK(D42),B42,D42))+(IF(ISBLANK(E42),C42,E42)*G18))</f>
        <v>2051.1901415290749</v>
      </c>
      <c r="H42" s="70">
        <f>SUM((IF(ISBLANK(D42),B42,D42))+(IF(ISBLANK(E42),C42,E42)*H18))</f>
        <v>2322.976770979908</v>
      </c>
      <c r="I42" s="70">
        <f>SUM((IF(ISBLANK(D42),B42,D42))+(IF(ISBLANK(E42),C42,E42)*I18))</f>
        <v>2694.0741486474817</v>
      </c>
      <c r="J42" s="282">
        <f t="shared" si="146"/>
        <v>27269.079605684783</v>
      </c>
      <c r="K42" s="70">
        <f>SUM((IF(ISBLANK(D42),B42,D42))+(IF(ISBLANK(E42),C42,E42)*K18))</f>
        <v>3185.1703135999137</v>
      </c>
      <c r="L42" s="70">
        <f>SUM((IF(ISBLANK(D42),B42,D42))+(IF(ISBLANK(E42),C42,E42)*L18))</f>
        <v>3867.004614688748</v>
      </c>
      <c r="M42" s="70">
        <f>SUM((IF(ISBLANK(D42),B42,D42))+(IF(ISBLANK(E42),C42,E42)*M18))</f>
        <v>4931.2046325769206</v>
      </c>
      <c r="N42" s="70">
        <f>SUM((IF(ISBLANK(D42),B42,D42))+(IF(ISBLANK(E42),C42,E42)*N18))</f>
        <v>6773.5846255868273</v>
      </c>
      <c r="O42" s="282">
        <f t="shared" si="147"/>
        <v>56270.892559357235</v>
      </c>
      <c r="P42" s="70">
        <f>SUM((IF(ISBLANK(D42),B42,D42))+(IF(ISBLANK(E42),C42,E42)*P18))</f>
        <v>9995.6876883937766</v>
      </c>
      <c r="Q42" s="70">
        <f>SUM((IF(ISBLANK(D42),B42,D42))+(IF(ISBLANK(E42),C42,E42)*Q18))</f>
        <v>15792.839202390705</v>
      </c>
      <c r="R42" s="70">
        <f>SUM((IF(ISBLANK(D42),B42,D42))+(IF(ISBLANK(E42),C42,E42)*R18))</f>
        <v>26858.850244178502</v>
      </c>
      <c r="S42" s="70">
        <f>SUM((IF(ISBLANK(D42),B42,D42))+(IF(ISBLANK(E42),C42,E42)*S18))</f>
        <v>48260.310702250434</v>
      </c>
      <c r="T42" s="305">
        <f t="shared" si="148"/>
        <v>302723.0635116403</v>
      </c>
      <c r="U42" s="281">
        <f>SUM((IF(ISBLANK(D42),B42,D42))+(IF(ISBLANK(E42),C42,E42)*U18))*12</f>
        <v>1576177.5980963456</v>
      </c>
      <c r="V42" s="282">
        <f>SUM((IF(ISBLANK(D42),B42,D42))+(IF(ISBLANK(E42),C42,E42)*V18))*12</f>
        <v>3224077.4282655758</v>
      </c>
      <c r="W42" s="283">
        <f>SUM((IF(ISBLANK(D42),B42,D42))+(IF(ISBLANK(E42),C42,E42)*W18))*12</f>
        <v>5563987.0057840254</v>
      </c>
      <c r="X42" s="177"/>
      <c r="Y42" s="505">
        <f>SUM(10105+7000)</f>
        <v>17105</v>
      </c>
      <c r="Z42" s="70">
        <f t="shared" si="149"/>
        <v>2021.4521407384641</v>
      </c>
      <c r="AA42" s="70">
        <f t="shared" si="150"/>
        <v>2021.4521407384641</v>
      </c>
      <c r="AB42" s="70">
        <f t="shared" si="151"/>
        <v>2021.4521407384641</v>
      </c>
      <c r="AC42" s="282">
        <f t="shared" si="134"/>
        <v>6064.3564222153927</v>
      </c>
      <c r="AD42" s="74"/>
      <c r="AE42" s="70">
        <f t="shared" si="152"/>
        <v>2051.1901415290749</v>
      </c>
      <c r="AF42" s="70">
        <f t="shared" si="153"/>
        <v>2051.1901415290749</v>
      </c>
      <c r="AG42" s="70">
        <f t="shared" si="154"/>
        <v>2051.1901415290749</v>
      </c>
      <c r="AH42" s="282">
        <f t="shared" si="135"/>
        <v>6153.5704245872248</v>
      </c>
      <c r="AI42" s="74"/>
      <c r="AJ42" s="70">
        <f t="shared" si="155"/>
        <v>2322.976770979908</v>
      </c>
      <c r="AK42" s="70">
        <f t="shared" si="156"/>
        <v>2322.976770979908</v>
      </c>
      <c r="AL42" s="70">
        <f t="shared" si="157"/>
        <v>2322.976770979908</v>
      </c>
      <c r="AM42" s="282">
        <f t="shared" si="136"/>
        <v>6968.930312939724</v>
      </c>
      <c r="AN42" s="74"/>
      <c r="AO42" s="70">
        <f t="shared" si="158"/>
        <v>2694.0741486474817</v>
      </c>
      <c r="AP42" s="70">
        <f t="shared" si="159"/>
        <v>2694.0741486474817</v>
      </c>
      <c r="AQ42" s="70">
        <f t="shared" si="160"/>
        <v>2694.0741486474817</v>
      </c>
      <c r="AR42" s="282">
        <f t="shared" si="137"/>
        <v>8082.2224459424451</v>
      </c>
      <c r="AS42" s="74"/>
      <c r="AT42" s="70">
        <f t="shared" si="161"/>
        <v>3185.1703135999137</v>
      </c>
      <c r="AU42" s="70">
        <f t="shared" si="162"/>
        <v>3185.1703135999137</v>
      </c>
      <c r="AV42" s="70">
        <f t="shared" si="163"/>
        <v>3185.1703135999137</v>
      </c>
      <c r="AW42" s="282">
        <f t="shared" si="138"/>
        <v>9555.5109407997406</v>
      </c>
      <c r="AX42" s="74"/>
      <c r="AY42" s="70">
        <f t="shared" si="164"/>
        <v>3867.004614688748</v>
      </c>
      <c r="AZ42" s="70">
        <f t="shared" si="165"/>
        <v>3867.004614688748</v>
      </c>
      <c r="BA42" s="70">
        <f t="shared" si="166"/>
        <v>3867.004614688748</v>
      </c>
      <c r="BB42" s="282">
        <f t="shared" si="139"/>
        <v>11601.013844066245</v>
      </c>
      <c r="BC42" s="74"/>
      <c r="BD42" s="70">
        <f t="shared" si="167"/>
        <v>4931.2046325769206</v>
      </c>
      <c r="BE42" s="70">
        <f t="shared" si="168"/>
        <v>4931.2046325769206</v>
      </c>
      <c r="BF42" s="70">
        <f t="shared" si="169"/>
        <v>4931.2046325769206</v>
      </c>
      <c r="BG42" s="282">
        <f t="shared" si="140"/>
        <v>14793.613897730762</v>
      </c>
      <c r="BH42" s="74"/>
      <c r="BI42" s="70">
        <f t="shared" si="170"/>
        <v>6773.5846255868273</v>
      </c>
      <c r="BJ42" s="70">
        <f t="shared" si="171"/>
        <v>6773.5846255868273</v>
      </c>
      <c r="BK42" s="70">
        <f t="shared" si="172"/>
        <v>6773.5846255868273</v>
      </c>
      <c r="BL42" s="282">
        <f t="shared" si="141"/>
        <v>20320.753876760482</v>
      </c>
      <c r="BM42" s="74"/>
      <c r="BN42" s="70">
        <f t="shared" si="173"/>
        <v>9995.6876883937766</v>
      </c>
      <c r="BO42" s="70">
        <f t="shared" si="174"/>
        <v>9995.6876883937766</v>
      </c>
      <c r="BP42" s="70">
        <f t="shared" si="175"/>
        <v>9995.6876883937766</v>
      </c>
      <c r="BQ42" s="282">
        <f t="shared" si="142"/>
        <v>29987.06306518133</v>
      </c>
      <c r="BR42" s="74"/>
      <c r="BS42" s="70">
        <f t="shared" si="176"/>
        <v>15792.839202390705</v>
      </c>
      <c r="BT42" s="70">
        <f t="shared" si="177"/>
        <v>15792.839202390705</v>
      </c>
      <c r="BU42" s="70">
        <f t="shared" si="178"/>
        <v>15792.839202390705</v>
      </c>
      <c r="BV42" s="282">
        <f t="shared" si="143"/>
        <v>47378.517607172114</v>
      </c>
      <c r="BW42" s="74"/>
      <c r="BX42" s="70">
        <f t="shared" si="179"/>
        <v>26858.850244178502</v>
      </c>
      <c r="BY42" s="70">
        <f t="shared" si="180"/>
        <v>26858.850244178502</v>
      </c>
      <c r="BZ42" s="70">
        <f t="shared" si="181"/>
        <v>26858.850244178502</v>
      </c>
      <c r="CA42" s="282">
        <f t="shared" si="144"/>
        <v>80576.550732535514</v>
      </c>
      <c r="CB42" s="74"/>
      <c r="CC42" s="70">
        <f t="shared" si="182"/>
        <v>48260.310702250434</v>
      </c>
      <c r="CD42" s="70">
        <f t="shared" si="183"/>
        <v>48260.310702250434</v>
      </c>
      <c r="CE42" s="70">
        <f t="shared" si="184"/>
        <v>48260.310702250434</v>
      </c>
      <c r="CF42" s="282">
        <f t="shared" si="145"/>
        <v>144780.93210675131</v>
      </c>
      <c r="CG42" s="88"/>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1" t="s">
        <v>275</v>
      </c>
      <c r="B43" s="270">
        <v>0.1</v>
      </c>
      <c r="C43" s="269">
        <v>-0.01</v>
      </c>
      <c r="D43" s="118"/>
      <c r="E43" s="117"/>
      <c r="F43" s="130">
        <v>10000</v>
      </c>
      <c r="G43" s="131">
        <v>10000</v>
      </c>
      <c r="H43" s="70">
        <f>SUM((IF(ISBLANK(D43),B43,D43)*(H30/3))+(G43))</f>
        <v>11127.829680939794</v>
      </c>
      <c r="I43" s="104">
        <f>SUM(IF(ISBLANK(D43),      (IF((1*(IF(ISBLANK(E43),C43,E43)) + B43) &lt; 0,     0,     (1*(IF(ISBLANK(E43),C43,E43)) + B43)   )),       (IF((1*(IF(ISBLANK(E43),C43,E43)) + D43) &lt; 0,     0,     (1*(IF(ISBLANK(E43),C43,E43)) + D43)   ))  )       *   (I30/3)+(H43))</f>
        <v>15894.093535049069</v>
      </c>
      <c r="J43" s="282">
        <f t="shared" si="146"/>
        <v>141065.7696479666</v>
      </c>
      <c r="K43" s="70">
        <f>SUM(IF(ISBLANK(D43),      (IF((2*(IF(ISBLANK(E43),C43,E43)) + B43) &lt; 0,     0,     (2*(IF(ISBLANK(E43),C43,E43)) + B43)   )),       (IF((2*(IF(ISBLANK(E43),C43,E43)) + D43) &lt; 0,     0,     (2*(IF(ISBLANK(E43),C43,E43)) + D43)   ))  )       *   (K30/3)+(I43))</f>
        <v>26776.143481849365</v>
      </c>
      <c r="L43" s="70">
        <f>SUM(IF(ISBLANK(D43),      (IF((3*(IF(ISBLANK(E43),C43,E43)) + B43) &lt; 0,     0,     (3*(IF(ISBLANK(E43),C43,E43)) + B43)   )),       (IF((3*(IF(ISBLANK(E43),C43,E43)) + D43) &lt; 0,     0,     (3*(IF(ISBLANK(E43),C43,E43)) + D43)   ))  )       *   (L30/3)+(K43))</f>
        <v>46455.715433140736</v>
      </c>
      <c r="M43" s="70">
        <f>SUM(IF(ISBLANK(D43),      (IF((4*(IF(ISBLANK(E43),C43,E43)) + B43) &lt; 0,     0,     (4*(IF(ISBLANK(E43),C43,E43)) + B43)   )),       (IF((4*(IF(ISBLANK(E43),C43,E43)) + D43) &lt; 0,     0,     (4*(IF(ISBLANK(E43),C43,E43)) + D43)   ))  )       *   (M30/3)+(L43))</f>
        <v>78825.434842660994</v>
      </c>
      <c r="N43" s="70">
        <f>SUM(IF(ISBLANK(D43),      (IF((5*(IF(ISBLANK(E43),C43,E43)) + B43) &lt; 0,     0,     (5*(IF(ISBLANK(E43),C43,E43)) + B43)   )),       (IF((5*(IF(ISBLANK(E43),C43,E43)) + D43) &lt; 0,     0,     (5*(IF(ISBLANK(E43),C43,E43)) + D43)   ))  )       *   (N30/3)+(M43))</f>
        <v>130228.15938444261</v>
      </c>
      <c r="O43" s="282">
        <f t="shared" si="147"/>
        <v>846856.35942628107</v>
      </c>
      <c r="P43" s="70">
        <f>SUM(IF(ISBLANK(D43),      (IF((6*(IF(ISBLANK(E43),C43,E43)) + B43) &lt; 0,     0,     (6*(IF(ISBLANK(E43),C43,E43)) + B43)   )),       (IF((6*(IF(ISBLANK(E43),C43,E43)) + D43) &lt; 0,     0,     (6*(IF(ISBLANK(E43),C43,E43)) + D43)   ))  )       *   (P30/3)+(N43))</f>
        <v>212691.97200967051</v>
      </c>
      <c r="Q43" s="70">
        <f>SUM(IF(ISBLANK(D43),      (IF((7*(IF(ISBLANK(E43),C43,E43)) + B43) &lt; 0,     0,     (7*(IF(ISBLANK(E43),C43,E43)) + B43)   )),       (IF((7*(IF(ISBLANK(E43),C43,E43)) + D43) &lt; 0,     0,     (7*(IF(ISBLANK(E43),C43,E43)) + D43)   ))  )       *   (Q30/3)+(P43))</f>
        <v>334558.17010355304</v>
      </c>
      <c r="R43" s="70">
        <f>SUM(IF(ISBLANK(D43),      (IF((8*(IF(ISBLANK(E43),C43,E43)) + B43) &lt; 0,     0,     (8*(IF(ISBLANK(E43),C43,E43)) + B43)   )),       (IF((8*(IF(ISBLANK(E43),C43,E43)) + D43) &lt; 0,     0,     (8*(IF(ISBLANK(E43),C43,E43)) + D43)   ))  )       *   (R30/3)+(Q43))</f>
        <v>498439.4391164541</v>
      </c>
      <c r="S43" s="70">
        <f>SUM(IF(ISBLANK(D43),      (IF((9*(IF(ISBLANK(E43),C43,E43)) + B43) &lt; 0,     0,     (9*(IF(ISBLANK(E43),C43,E43)) + B43)   )),       (IF((9*(IF(ISBLANK(E43),C43,E43)) + D43) &lt; 0,     0,     (9*(IF(ISBLANK(E43),C43,E43)) + D43)   ))  )       *   (S30/3)+(R43))</f>
        <v>667302.19660828658</v>
      </c>
      <c r="T43" s="305">
        <f t="shared" si="148"/>
        <v>5138975.3335138932</v>
      </c>
      <c r="U43" s="281">
        <f>SUM(IF(ISBLANK(D43),      (IF((10*(IF(ISBLANK(E43),C43,E43)) + B43) &lt; 0,     0,     (10*(IF(ISBLANK(E43),C43,E43)) + B43)   )),       (IF((10*(IF(ISBLANK(E43),C43,E43)) + D43) &lt; 0,     0,     (10*(IF(ISBLANK(E43),C43,E43)) + D43)   ))  )       *   (U30)+(S43))*12</f>
        <v>8007626.359299439</v>
      </c>
      <c r="V43" s="282">
        <f>SUM(IF(ISBLANK(D43),      (IF((11*(IF(ISBLANK(E43),C43,E43)) + B43) &lt; 0,     0,     (11*(IF(ISBLANK(E43),C43,E43)) + B43)   )),       (IF((11*(IF(ISBLANK(E43),C43,E43)) + D43) &lt; 0,     0,     (11*(IF(ISBLANK(E43),C43,E43)) + D43)   ))  )       *   (V30)+(U43))</f>
        <v>8007626.359299439</v>
      </c>
      <c r="W43" s="283">
        <f>SUM(IF(ISBLANK(D43),      (IF((12*(IF(ISBLANK(E43),C43,E43)) + B43) &lt; 0,     0,     (12*(IF(ISBLANK(E43),C43,E43)) + B43)   )),       (IF((12*(IF(ISBLANK(E43),C43,E43)) + D43) &lt; 0,     0,     (12*(IF(ISBLANK(E43),C43,E43)) + D43)   ))  )       *   (W30)+(V43))</f>
        <v>8007626.359299439</v>
      </c>
      <c r="X43" s="177"/>
      <c r="Y43" s="505">
        <f>SUM(1150+61191+16520+16425+10520+4487)</f>
        <v>110293</v>
      </c>
      <c r="Z43" s="70">
        <f t="shared" si="149"/>
        <v>10000</v>
      </c>
      <c r="AA43" s="70">
        <f t="shared" si="150"/>
        <v>10000</v>
      </c>
      <c r="AB43" s="70">
        <f t="shared" si="151"/>
        <v>10000</v>
      </c>
      <c r="AC43" s="282">
        <f t="shared" si="134"/>
        <v>30000</v>
      </c>
      <c r="AD43" s="74"/>
      <c r="AE43" s="70">
        <f t="shared" si="152"/>
        <v>10000</v>
      </c>
      <c r="AF43" s="70">
        <f t="shared" si="153"/>
        <v>10000</v>
      </c>
      <c r="AG43" s="70">
        <f t="shared" si="154"/>
        <v>10000</v>
      </c>
      <c r="AH43" s="282">
        <f t="shared" si="135"/>
        <v>30000</v>
      </c>
      <c r="AI43" s="74"/>
      <c r="AJ43" s="70">
        <f t="shared" si="155"/>
        <v>11127.829680939794</v>
      </c>
      <c r="AK43" s="70">
        <f t="shared" si="156"/>
        <v>11127.829680939794</v>
      </c>
      <c r="AL43" s="70">
        <f t="shared" si="157"/>
        <v>11127.829680939794</v>
      </c>
      <c r="AM43" s="282">
        <f t="shared" si="136"/>
        <v>33383.489042819383</v>
      </c>
      <c r="AN43" s="74"/>
      <c r="AO43" s="70">
        <f t="shared" si="158"/>
        <v>15894.093535049069</v>
      </c>
      <c r="AP43" s="70">
        <f t="shared" si="159"/>
        <v>15894.093535049069</v>
      </c>
      <c r="AQ43" s="70">
        <f t="shared" si="160"/>
        <v>15894.093535049069</v>
      </c>
      <c r="AR43" s="282">
        <f t="shared" si="137"/>
        <v>47682.280605147207</v>
      </c>
      <c r="AS43" s="74"/>
      <c r="AT43" s="70">
        <f t="shared" si="161"/>
        <v>26776.143481849365</v>
      </c>
      <c r="AU43" s="70">
        <f t="shared" si="162"/>
        <v>26776.143481849365</v>
      </c>
      <c r="AV43" s="70">
        <f t="shared" si="163"/>
        <v>26776.143481849365</v>
      </c>
      <c r="AW43" s="282">
        <f t="shared" si="138"/>
        <v>80328.430445548089</v>
      </c>
      <c r="AX43" s="74"/>
      <c r="AY43" s="70">
        <f t="shared" si="164"/>
        <v>46455.715433140736</v>
      </c>
      <c r="AZ43" s="70">
        <f t="shared" si="165"/>
        <v>46455.715433140736</v>
      </c>
      <c r="BA43" s="70">
        <f t="shared" si="166"/>
        <v>46455.715433140736</v>
      </c>
      <c r="BB43" s="282">
        <f t="shared" si="139"/>
        <v>139367.14629942219</v>
      </c>
      <c r="BC43" s="74"/>
      <c r="BD43" s="70">
        <f t="shared" si="167"/>
        <v>78825.434842660994</v>
      </c>
      <c r="BE43" s="70">
        <f t="shared" si="168"/>
        <v>78825.434842660994</v>
      </c>
      <c r="BF43" s="70">
        <f t="shared" si="169"/>
        <v>78825.434842660994</v>
      </c>
      <c r="BG43" s="282">
        <f t="shared" si="140"/>
        <v>236476.30452798298</v>
      </c>
      <c r="BH43" s="74"/>
      <c r="BI43" s="70">
        <f t="shared" si="170"/>
        <v>130228.15938444261</v>
      </c>
      <c r="BJ43" s="70">
        <f t="shared" si="171"/>
        <v>130228.15938444261</v>
      </c>
      <c r="BK43" s="70">
        <f t="shared" si="172"/>
        <v>130228.15938444261</v>
      </c>
      <c r="BL43" s="282">
        <f t="shared" si="141"/>
        <v>390684.47815332783</v>
      </c>
      <c r="BM43" s="74"/>
      <c r="BN43" s="70">
        <f t="shared" si="173"/>
        <v>212691.97200967051</v>
      </c>
      <c r="BO43" s="70">
        <f t="shared" si="174"/>
        <v>212691.97200967051</v>
      </c>
      <c r="BP43" s="70">
        <f t="shared" si="175"/>
        <v>212691.97200967051</v>
      </c>
      <c r="BQ43" s="282">
        <f t="shared" si="142"/>
        <v>638075.9160290116</v>
      </c>
      <c r="BR43" s="74"/>
      <c r="BS43" s="70">
        <f t="shared" si="176"/>
        <v>334558.17010355304</v>
      </c>
      <c r="BT43" s="70">
        <f t="shared" si="177"/>
        <v>334558.17010355304</v>
      </c>
      <c r="BU43" s="70">
        <f t="shared" si="178"/>
        <v>334558.17010355304</v>
      </c>
      <c r="BV43" s="282">
        <f t="shared" si="143"/>
        <v>1003674.5103106592</v>
      </c>
      <c r="BW43" s="74"/>
      <c r="BX43" s="70">
        <f t="shared" si="179"/>
        <v>498439.4391164541</v>
      </c>
      <c r="BY43" s="70">
        <f t="shared" si="180"/>
        <v>498439.4391164541</v>
      </c>
      <c r="BZ43" s="70">
        <f t="shared" si="181"/>
        <v>498439.4391164541</v>
      </c>
      <c r="CA43" s="282">
        <f t="shared" si="144"/>
        <v>1495318.3173493622</v>
      </c>
      <c r="CB43" s="74"/>
      <c r="CC43" s="70">
        <f t="shared" si="182"/>
        <v>667302.19660828658</v>
      </c>
      <c r="CD43" s="70">
        <f t="shared" si="183"/>
        <v>667302.19660828658</v>
      </c>
      <c r="CE43" s="70">
        <f t="shared" si="184"/>
        <v>667302.19660828658</v>
      </c>
      <c r="CF43" s="282">
        <f t="shared" si="145"/>
        <v>2001906.5898248598</v>
      </c>
      <c r="CG43" s="88"/>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196" t="s">
        <v>276</v>
      </c>
      <c r="B44" s="306">
        <v>3</v>
      </c>
      <c r="C44" s="307">
        <v>-0.05</v>
      </c>
      <c r="D44" s="122"/>
      <c r="E44" s="123"/>
      <c r="F44" s="129">
        <v>6</v>
      </c>
      <c r="G44" s="128">
        <v>5</v>
      </c>
      <c r="H44" s="195">
        <f>SUM((IF(ISBLANK(D44),B44,D44)))</f>
        <v>3</v>
      </c>
      <c r="I44" s="195">
        <f>SUM(H44+(IF(ISBLANK(E44),C44,E44)))</f>
        <v>2.95</v>
      </c>
      <c r="J44" s="279">
        <f>SUM((F44+G44+H44+I44)/4)</f>
        <v>4.2374999999999998</v>
      </c>
      <c r="K44" s="195">
        <f>SUM(I44+(IF(ISBLANK(E44),C44,E44)))</f>
        <v>2.9000000000000004</v>
      </c>
      <c r="L44" s="195">
        <f>SUM(K44+(IF(ISBLANK(E44),C44,E44)))</f>
        <v>2.8500000000000005</v>
      </c>
      <c r="M44" s="195">
        <f>SUM(L44+(IF(ISBLANK(E44),C44,E44)))</f>
        <v>2.8000000000000007</v>
      </c>
      <c r="N44" s="195">
        <f>SUM(M44+(IF(ISBLANK(E44),C44,E44)))</f>
        <v>2.7500000000000009</v>
      </c>
      <c r="O44" s="279">
        <f>SUM(K44+L44+M44+N44)/4</f>
        <v>2.8250000000000002</v>
      </c>
      <c r="P44" s="195">
        <f>SUM(N44+(IF(ISBLANK(E44),C44,E44)))</f>
        <v>2.7000000000000011</v>
      </c>
      <c r="Q44" s="195">
        <f>SUM(P44+(IF(ISBLANK(E44),C44,E44)))</f>
        <v>2.6500000000000012</v>
      </c>
      <c r="R44" s="195">
        <f>SUM(Q44+(IF(ISBLANK(E44),C44,E44)))</f>
        <v>2.6000000000000014</v>
      </c>
      <c r="S44" s="195">
        <f>SUM(R44+(IF(ISBLANK(E44),C44,E44)))</f>
        <v>2.5500000000000016</v>
      </c>
      <c r="T44" s="304">
        <f>SUM(P44+Q44+R44+S44)/4</f>
        <v>2.6250000000000013</v>
      </c>
      <c r="U44" s="278">
        <f>SUM(S44+(IF(ISBLANK(E44),C44,E44)))</f>
        <v>2.5000000000000018</v>
      </c>
      <c r="V44" s="279">
        <f>SUM(U44+(IF(ISBLANK(E44),C44,E44)))</f>
        <v>2.450000000000002</v>
      </c>
      <c r="W44" s="280">
        <f>SUM(V44+(IF(ISBLANK(E44),C44,E44)))</f>
        <v>2.4000000000000021</v>
      </c>
      <c r="X44" s="172"/>
      <c r="Y44" s="506">
        <v>1.2</v>
      </c>
      <c r="Z44" s="195">
        <f>F44</f>
        <v>6</v>
      </c>
      <c r="AA44" s="195">
        <f>F44</f>
        <v>6</v>
      </c>
      <c r="AB44" s="195">
        <f>F44</f>
        <v>6</v>
      </c>
      <c r="AC44" s="279">
        <f>SUM((Z44+AA44+AB44)/3)</f>
        <v>6</v>
      </c>
      <c r="AD44" s="85"/>
      <c r="AE44" s="195">
        <f>G44</f>
        <v>5</v>
      </c>
      <c r="AF44" s="195">
        <f>G44</f>
        <v>5</v>
      </c>
      <c r="AG44" s="195">
        <f>G44</f>
        <v>5</v>
      </c>
      <c r="AH44" s="279">
        <f>SUM((AE44+AF44+AG44)/3)</f>
        <v>5</v>
      </c>
      <c r="AI44" s="85"/>
      <c r="AJ44" s="195">
        <f>H44</f>
        <v>3</v>
      </c>
      <c r="AK44" s="195">
        <f>H44</f>
        <v>3</v>
      </c>
      <c r="AL44" s="195">
        <f>H44</f>
        <v>3</v>
      </c>
      <c r="AM44" s="279">
        <f>SUM((AJ44+AK44+AL44)/3)</f>
        <v>3</v>
      </c>
      <c r="AN44" s="85"/>
      <c r="AO44" s="195">
        <f>I44</f>
        <v>2.95</v>
      </c>
      <c r="AP44" s="195">
        <f>I44</f>
        <v>2.95</v>
      </c>
      <c r="AQ44" s="195">
        <f>I44</f>
        <v>2.95</v>
      </c>
      <c r="AR44" s="279">
        <f>SUM((AO44+AP44+AQ44)/3)</f>
        <v>2.9500000000000006</v>
      </c>
      <c r="AS44" s="85"/>
      <c r="AT44" s="195">
        <f>K44</f>
        <v>2.9000000000000004</v>
      </c>
      <c r="AU44" s="195">
        <f>K44</f>
        <v>2.9000000000000004</v>
      </c>
      <c r="AV44" s="195">
        <f>K44</f>
        <v>2.9000000000000004</v>
      </c>
      <c r="AW44" s="279">
        <f>SUM((AT44+AU44+AV44)/3)</f>
        <v>2.9000000000000004</v>
      </c>
      <c r="AX44" s="85"/>
      <c r="AY44" s="195">
        <f>L44</f>
        <v>2.8500000000000005</v>
      </c>
      <c r="AZ44" s="195">
        <f>L44</f>
        <v>2.8500000000000005</v>
      </c>
      <c r="BA44" s="195">
        <f>L44</f>
        <v>2.8500000000000005</v>
      </c>
      <c r="BB44" s="279">
        <f>SUM((AY44+AZ44+BA44)/3)</f>
        <v>2.85</v>
      </c>
      <c r="BC44" s="85"/>
      <c r="BD44" s="195">
        <f>M44</f>
        <v>2.8000000000000007</v>
      </c>
      <c r="BE44" s="195">
        <f>M44</f>
        <v>2.8000000000000007</v>
      </c>
      <c r="BF44" s="195">
        <f>M44</f>
        <v>2.8000000000000007</v>
      </c>
      <c r="BG44" s="279">
        <f>SUM((BD44+BE44+BF44)/3)</f>
        <v>2.8000000000000007</v>
      </c>
      <c r="BH44" s="85"/>
      <c r="BI44" s="195">
        <f>N44</f>
        <v>2.7500000000000009</v>
      </c>
      <c r="BJ44" s="195">
        <f>N44</f>
        <v>2.7500000000000009</v>
      </c>
      <c r="BK44" s="195">
        <f>N44</f>
        <v>2.7500000000000009</v>
      </c>
      <c r="BL44" s="279">
        <f>SUM((BI44+BJ44+BK44)/3)</f>
        <v>2.7500000000000013</v>
      </c>
      <c r="BM44" s="85"/>
      <c r="BN44" s="195">
        <f>P44</f>
        <v>2.7000000000000011</v>
      </c>
      <c r="BO44" s="195">
        <f>P44</f>
        <v>2.7000000000000011</v>
      </c>
      <c r="BP44" s="195">
        <f>P44</f>
        <v>2.7000000000000011</v>
      </c>
      <c r="BQ44" s="279">
        <f>SUM((BN44+BO44+BP44)/3)</f>
        <v>2.7000000000000011</v>
      </c>
      <c r="BR44" s="85"/>
      <c r="BS44" s="195">
        <f>Q44</f>
        <v>2.6500000000000012</v>
      </c>
      <c r="BT44" s="195">
        <f>Q44</f>
        <v>2.6500000000000012</v>
      </c>
      <c r="BU44" s="195">
        <f>Q44</f>
        <v>2.6500000000000012</v>
      </c>
      <c r="BV44" s="279">
        <f>SUM((BS44+BT44+BU44)/3)</f>
        <v>2.6500000000000012</v>
      </c>
      <c r="BW44" s="85"/>
      <c r="BX44" s="195">
        <f>R44</f>
        <v>2.6000000000000014</v>
      </c>
      <c r="BY44" s="195">
        <f>R44</f>
        <v>2.6000000000000014</v>
      </c>
      <c r="BZ44" s="195">
        <f>R44</f>
        <v>2.6000000000000014</v>
      </c>
      <c r="CA44" s="279">
        <f>SUM((BX44+BY44+BZ44)/3)</f>
        <v>2.6000000000000014</v>
      </c>
      <c r="CB44" s="85"/>
      <c r="CC44" s="195">
        <f>S44</f>
        <v>2.5500000000000016</v>
      </c>
      <c r="CD44" s="195">
        <f>S44</f>
        <v>2.5500000000000016</v>
      </c>
      <c r="CE44" s="195">
        <f>S44</f>
        <v>2.5500000000000016</v>
      </c>
      <c r="CF44" s="279">
        <f>SUM((CC44+CD44+CE44)/3)</f>
        <v>2.5500000000000016</v>
      </c>
      <c r="CG44" s="87"/>
    </row>
    <row r="45" spans="1:175" s="9" customFormat="1" ht="9.75" customHeight="1" x14ac:dyDescent="0.15">
      <c r="A45" s="61" t="s">
        <v>277</v>
      </c>
      <c r="B45" s="260">
        <v>0.3</v>
      </c>
      <c r="C45" s="305">
        <v>10000000</v>
      </c>
      <c r="D45" s="118"/>
      <c r="E45" s="119"/>
      <c r="F45" s="130">
        <v>0</v>
      </c>
      <c r="G45" s="131">
        <v>0</v>
      </c>
      <c r="H45" s="70">
        <f>SUM(G45+(IF(IF(ISBLANK(D45),B45,D45)*(G30/3)&gt;(IF(ISBLANK(E45),C45,E45)),IF(ISBLANK(E45),C45,E45),IF(ISBLANK(D45),B45,D45)*(G30/3))))</f>
        <v>0</v>
      </c>
      <c r="I45" s="104">
        <f>SUM(G45+(IF(IF(ISBLANK(D45),B45,D45)*(H30/3)&gt;(IF(ISBLANK(E45),C45,E45)),IF(ISBLANK(E45),C45,E45),IF(ISBLANK(D45),B45,D45)*(H30/3))))</f>
        <v>3383.4890428193812</v>
      </c>
      <c r="J45" s="282">
        <f t="shared" si="146"/>
        <v>10150.467128458144</v>
      </c>
      <c r="K45" s="70">
        <f>SUM(G45+(IF(IF(ISBLANK(D45),B45,D45)*(I30/3)&gt;(IF(ISBLANK(E45),C45,E45)),IF(ISBLANK(E45),C45,E45),IF(ISBLANK(D45),B45,D45)*(I30/3))))</f>
        <v>15887.546180364247</v>
      </c>
      <c r="L45" s="70">
        <f>SUM(G45+(IF(IF(ISBLANK(D45),B45,D45)*(K30/3)&gt;(IF(ISBLANK(E45),C45,E45)),IF(ISBLANK(E45),C45,E45),IF(ISBLANK(D45),B45,D45)*(K30/3))))</f>
        <v>40807.687300501108</v>
      </c>
      <c r="M45" s="70">
        <f>SUM(G45+(IF(IF(ISBLANK(D45),B45,D45)*(L30/3)&gt;(IF(ISBLANK(E45),C45,E45)),IF(ISBLANK(E45),C45,E45),IF(ISBLANK(D45),B45,D45)*(L30/3))))</f>
        <v>84341.02264839159</v>
      </c>
      <c r="N45" s="70">
        <f>SUM(G45+(IF(IF(ISBLANK(D45),B45,D45)*(M30/3)&gt;(IF(ISBLANK(E45),C45,E45)),IF(ISBLANK(E45),C45,E45),IF(ISBLANK(D45),B45,D45)*(M30/3))))</f>
        <v>161848.59704760124</v>
      </c>
      <c r="O45" s="282">
        <f t="shared" si="147"/>
        <v>908654.5595305746</v>
      </c>
      <c r="P45" s="70">
        <f>SUM(G45+(IF(IF(ISBLANK(D45),B45,D45)*(N30/3)&gt;(IF(ISBLANK(E45),C45,E45)),IF(ISBLANK(E45),C45,E45),IF(ISBLANK(D45),B45,D45)*(N30/3))))</f>
        <v>308416.34725068964</v>
      </c>
      <c r="Q45" s="70">
        <f>SUM(G45+(IF(IF(ISBLANK(D45),B45,D45)*(P30/3)&gt;(IF(ISBLANK(E45),C45,E45)),IF(ISBLANK(E45),C45,E45),IF(ISBLANK(D45),B45,D45)*(P30/3))))</f>
        <v>618478.59468920901</v>
      </c>
      <c r="R45" s="70">
        <f>SUM(G45+(IF(IF(ISBLANK(D45),B45,D45)*(Q30/3)&gt;(IF(ISBLANK(E45),C45,E45)),IF(ISBLANK(E45),C45,E45),IF(ISBLANK(D45),B45,D45)*(Q30/3))))</f>
        <v>1218661.9809388253</v>
      </c>
      <c r="S45" s="70">
        <f>SUM(G45+(IF(IF(ISBLANK(D45),B45,D45)*(R30/3)&gt;(IF(ISBLANK(E45),C45,E45)),IF(ISBLANK(E45),C45,E45),IF(ISBLANK(D45),B45,D45)*(R30/3))))</f>
        <v>2458219.0351935159</v>
      </c>
      <c r="T45" s="305">
        <f t="shared" si="148"/>
        <v>13811327.87421672</v>
      </c>
      <c r="U45" s="281">
        <f>SUM(G45+(IF(IF(ISBLANK(D45),B45,D45)*(S30)&gt;(IF(ISBLANK(E45),C45,E45)),IF(ISBLANK(E45),C45,E45),IF(ISBLANK(D45),B45,D45)*(S30))))</f>
        <v>10000000</v>
      </c>
      <c r="V45" s="282">
        <f>SUM(G45+(IF(IF(ISBLANK(D45),B45,D45)*(U30)&gt;(IF(ISBLANK(E45),C45,E45)),IF(ISBLANK(E45),C45,E45),IF(ISBLANK(D45),B45,D45)*(U30))))</f>
        <v>10000000</v>
      </c>
      <c r="W45" s="283">
        <f>SUM(G45+(IF(IF(ISBLANK(D45),B45,D45)*(V30)&gt;(IF(ISBLANK(E45),C45,E45)),IF(ISBLANK(E45),C45,E45),IF(ISBLANK(D45),B45,D45)*(V30))))</f>
        <v>10000000</v>
      </c>
      <c r="X45" s="177"/>
      <c r="Y45" s="505">
        <v>0</v>
      </c>
      <c r="Z45" s="70">
        <f t="shared" si="149"/>
        <v>0</v>
      </c>
      <c r="AA45" s="70">
        <f t="shared" si="150"/>
        <v>0</v>
      </c>
      <c r="AB45" s="70">
        <f t="shared" si="151"/>
        <v>0</v>
      </c>
      <c r="AC45" s="282">
        <f>SUM(Z45:AB45)</f>
        <v>0</v>
      </c>
      <c r="AD45" s="74"/>
      <c r="AE45" s="70">
        <f t="shared" si="152"/>
        <v>0</v>
      </c>
      <c r="AF45" s="70">
        <f t="shared" si="153"/>
        <v>0</v>
      </c>
      <c r="AG45" s="70">
        <f t="shared" si="154"/>
        <v>0</v>
      </c>
      <c r="AH45" s="282">
        <f t="shared" si="135"/>
        <v>0</v>
      </c>
      <c r="AI45" s="74"/>
      <c r="AJ45" s="70">
        <f t="shared" si="155"/>
        <v>0</v>
      </c>
      <c r="AK45" s="70">
        <f t="shared" si="156"/>
        <v>0</v>
      </c>
      <c r="AL45" s="70">
        <f t="shared" si="157"/>
        <v>0</v>
      </c>
      <c r="AM45" s="282">
        <f>SUM(AJ45:AL45)</f>
        <v>0</v>
      </c>
      <c r="AN45" s="74"/>
      <c r="AO45" s="70">
        <f t="shared" si="158"/>
        <v>3383.4890428193812</v>
      </c>
      <c r="AP45" s="70">
        <f t="shared" si="159"/>
        <v>3383.4890428193812</v>
      </c>
      <c r="AQ45" s="70">
        <f t="shared" si="160"/>
        <v>3383.4890428193812</v>
      </c>
      <c r="AR45" s="282">
        <f>SUM(AO45:AQ45)</f>
        <v>10150.467128458144</v>
      </c>
      <c r="AS45" s="74"/>
      <c r="AT45" s="70">
        <f t="shared" si="161"/>
        <v>15887.546180364247</v>
      </c>
      <c r="AU45" s="70">
        <f t="shared" si="162"/>
        <v>15887.546180364247</v>
      </c>
      <c r="AV45" s="70">
        <f t="shared" si="163"/>
        <v>15887.546180364247</v>
      </c>
      <c r="AW45" s="282">
        <f>SUM(AT45:AV45)</f>
        <v>47662.63854109274</v>
      </c>
      <c r="AX45" s="74"/>
      <c r="AY45" s="70">
        <f t="shared" si="164"/>
        <v>40807.687300501108</v>
      </c>
      <c r="AZ45" s="70">
        <f t="shared" si="165"/>
        <v>40807.687300501108</v>
      </c>
      <c r="BA45" s="70">
        <f t="shared" si="166"/>
        <v>40807.687300501108</v>
      </c>
      <c r="BB45" s="282">
        <f>SUM(AY45:BA45)</f>
        <v>122423.06190150333</v>
      </c>
      <c r="BC45" s="74"/>
      <c r="BD45" s="70">
        <f t="shared" si="167"/>
        <v>84341.02264839159</v>
      </c>
      <c r="BE45" s="70">
        <f t="shared" si="168"/>
        <v>84341.02264839159</v>
      </c>
      <c r="BF45" s="70">
        <f t="shared" si="169"/>
        <v>84341.02264839159</v>
      </c>
      <c r="BG45" s="282">
        <f>SUM(BD45:BF45)</f>
        <v>253023.06794517476</v>
      </c>
      <c r="BH45" s="74"/>
      <c r="BI45" s="70">
        <f t="shared" si="170"/>
        <v>161848.59704760124</v>
      </c>
      <c r="BJ45" s="70">
        <f t="shared" si="171"/>
        <v>161848.59704760124</v>
      </c>
      <c r="BK45" s="70">
        <f t="shared" si="172"/>
        <v>161848.59704760124</v>
      </c>
      <c r="BL45" s="282">
        <f>SUM(BI45:BK45)</f>
        <v>485545.79114280373</v>
      </c>
      <c r="BM45" s="74"/>
      <c r="BN45" s="70">
        <f t="shared" si="173"/>
        <v>308416.34725068964</v>
      </c>
      <c r="BO45" s="70">
        <f>P45</f>
        <v>308416.34725068964</v>
      </c>
      <c r="BP45" s="70">
        <f t="shared" si="175"/>
        <v>308416.34725068964</v>
      </c>
      <c r="BQ45" s="282">
        <f>SUM(BN45:BP45)</f>
        <v>925249.04175206891</v>
      </c>
      <c r="BR45" s="74"/>
      <c r="BS45" s="70">
        <f t="shared" si="176"/>
        <v>618478.59468920901</v>
      </c>
      <c r="BT45" s="70">
        <f t="shared" si="177"/>
        <v>618478.59468920901</v>
      </c>
      <c r="BU45" s="70">
        <f t="shared" si="178"/>
        <v>618478.59468920901</v>
      </c>
      <c r="BV45" s="282">
        <f>SUM(BS45:BU45)</f>
        <v>1855435.784067627</v>
      </c>
      <c r="BW45" s="74"/>
      <c r="BX45" s="70">
        <f t="shared" si="179"/>
        <v>1218661.9809388253</v>
      </c>
      <c r="BY45" s="70">
        <f t="shared" si="180"/>
        <v>1218661.9809388253</v>
      </c>
      <c r="BZ45" s="70">
        <f t="shared" si="181"/>
        <v>1218661.9809388253</v>
      </c>
      <c r="CA45" s="282">
        <f>SUM(BX45:BZ45)</f>
        <v>3655985.9428164759</v>
      </c>
      <c r="CB45" s="74"/>
      <c r="CC45" s="70">
        <f t="shared" si="182"/>
        <v>2458219.0351935159</v>
      </c>
      <c r="CD45" s="70">
        <f t="shared" si="183"/>
        <v>2458219.0351935159</v>
      </c>
      <c r="CE45" s="70">
        <f t="shared" si="184"/>
        <v>2458219.0351935159</v>
      </c>
      <c r="CF45" s="282">
        <f>SUM(CC45:CE45)</f>
        <v>7374657.1055805478</v>
      </c>
      <c r="CG45" s="88"/>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1" t="s">
        <v>278</v>
      </c>
      <c r="B46" s="281">
        <v>100000</v>
      </c>
      <c r="C46" s="305"/>
      <c r="D46" s="116"/>
      <c r="E46" s="357"/>
      <c r="F46" s="130">
        <v>1000</v>
      </c>
      <c r="G46" s="131">
        <f>SUM((IF(ISBLANK(D46),B46,D46)/3)*0.35)</f>
        <v>11666.666666666666</v>
      </c>
      <c r="H46" s="70">
        <f>SUM((IF(ISBLANK(D46),B46,D46)/3)*0.3)</f>
        <v>10000</v>
      </c>
      <c r="I46" s="104">
        <f>SUM((IF(ISBLANK(D46),B46,D46)/3)*0.2)</f>
        <v>6666.6666666666679</v>
      </c>
      <c r="J46" s="282">
        <f>SUM(F46:I46)*3</f>
        <v>88000</v>
      </c>
      <c r="K46" s="70">
        <f>SUM((IF(ISBLANK(D46),B46,D46)/3)*0.15)</f>
        <v>5000</v>
      </c>
      <c r="L46" s="70">
        <v>0</v>
      </c>
      <c r="M46" s="70">
        <v>0</v>
      </c>
      <c r="N46" s="70">
        <v>0</v>
      </c>
      <c r="O46" s="282">
        <f>SUM(K46:N46)*3</f>
        <v>15000</v>
      </c>
      <c r="P46" s="70">
        <v>0</v>
      </c>
      <c r="Q46" s="70">
        <v>0</v>
      </c>
      <c r="R46" s="70">
        <v>0</v>
      </c>
      <c r="S46" s="70">
        <v>0</v>
      </c>
      <c r="T46" s="305">
        <f>SUM(P46:S46)*3</f>
        <v>0</v>
      </c>
      <c r="U46" s="281">
        <v>0</v>
      </c>
      <c r="V46" s="282">
        <v>0</v>
      </c>
      <c r="W46" s="283">
        <v>0</v>
      </c>
      <c r="X46" s="177"/>
      <c r="Y46" s="505">
        <v>2000</v>
      </c>
      <c r="Z46" s="70">
        <f t="shared" si="149"/>
        <v>1000</v>
      </c>
      <c r="AA46" s="70">
        <f t="shared" si="150"/>
        <v>1000</v>
      </c>
      <c r="AB46" s="70">
        <f t="shared" si="151"/>
        <v>1000</v>
      </c>
      <c r="AC46" s="282">
        <f>SUM(Z46:AB46)</f>
        <v>3000</v>
      </c>
      <c r="AD46" s="74"/>
      <c r="AE46" s="70">
        <f t="shared" si="152"/>
        <v>11666.666666666666</v>
      </c>
      <c r="AF46" s="70">
        <f t="shared" si="153"/>
        <v>11666.666666666666</v>
      </c>
      <c r="AG46" s="70">
        <f t="shared" si="154"/>
        <v>11666.666666666666</v>
      </c>
      <c r="AH46" s="282">
        <f t="shared" si="135"/>
        <v>35000</v>
      </c>
      <c r="AI46" s="74"/>
      <c r="AJ46" s="70">
        <f t="shared" si="155"/>
        <v>10000</v>
      </c>
      <c r="AK46" s="70">
        <f t="shared" si="156"/>
        <v>10000</v>
      </c>
      <c r="AL46" s="70">
        <f t="shared" si="157"/>
        <v>10000</v>
      </c>
      <c r="AM46" s="282">
        <f>SUM(AJ46:AL46)</f>
        <v>30000</v>
      </c>
      <c r="AN46" s="74"/>
      <c r="AO46" s="70">
        <f t="shared" si="158"/>
        <v>6666.6666666666679</v>
      </c>
      <c r="AP46" s="70">
        <f t="shared" si="159"/>
        <v>6666.6666666666679</v>
      </c>
      <c r="AQ46" s="70">
        <f t="shared" si="160"/>
        <v>6666.6666666666679</v>
      </c>
      <c r="AR46" s="282">
        <f>SUM(AO46:AQ46)</f>
        <v>20000.000000000004</v>
      </c>
      <c r="AS46" s="74"/>
      <c r="AT46" s="70">
        <f t="shared" si="161"/>
        <v>5000</v>
      </c>
      <c r="AU46" s="70">
        <f t="shared" si="162"/>
        <v>5000</v>
      </c>
      <c r="AV46" s="70">
        <f t="shared" si="163"/>
        <v>5000</v>
      </c>
      <c r="AW46" s="282">
        <f>SUM(AT46:AV46)</f>
        <v>15000</v>
      </c>
      <c r="AX46" s="74"/>
      <c r="AY46" s="70">
        <f t="shared" si="164"/>
        <v>0</v>
      </c>
      <c r="AZ46" s="70">
        <f t="shared" si="165"/>
        <v>0</v>
      </c>
      <c r="BA46" s="70">
        <f t="shared" si="166"/>
        <v>0</v>
      </c>
      <c r="BB46" s="282">
        <f>SUM(AY46:BA46)</f>
        <v>0</v>
      </c>
      <c r="BC46" s="74"/>
      <c r="BD46" s="70">
        <f t="shared" si="167"/>
        <v>0</v>
      </c>
      <c r="BE46" s="70">
        <f t="shared" si="168"/>
        <v>0</v>
      </c>
      <c r="BF46" s="70">
        <f t="shared" si="169"/>
        <v>0</v>
      </c>
      <c r="BG46" s="282">
        <f>SUM(BD46:BF46)</f>
        <v>0</v>
      </c>
      <c r="BH46" s="74"/>
      <c r="BI46" s="70">
        <f t="shared" si="170"/>
        <v>0</v>
      </c>
      <c r="BJ46" s="70">
        <f t="shared" si="171"/>
        <v>0</v>
      </c>
      <c r="BK46" s="70">
        <f t="shared" si="172"/>
        <v>0</v>
      </c>
      <c r="BL46" s="282">
        <f>SUM(BI46:BK46)</f>
        <v>0</v>
      </c>
      <c r="BM46" s="74"/>
      <c r="BN46" s="70">
        <f t="shared" si="173"/>
        <v>0</v>
      </c>
      <c r="BO46" s="70">
        <f>P46</f>
        <v>0</v>
      </c>
      <c r="BP46" s="70">
        <f t="shared" si="175"/>
        <v>0</v>
      </c>
      <c r="BQ46" s="282">
        <f>SUM(BN46:BP46)</f>
        <v>0</v>
      </c>
      <c r="BR46" s="74"/>
      <c r="BS46" s="70">
        <f t="shared" si="176"/>
        <v>0</v>
      </c>
      <c r="BT46" s="70">
        <f t="shared" si="177"/>
        <v>0</v>
      </c>
      <c r="BU46" s="70">
        <f t="shared" si="178"/>
        <v>0</v>
      </c>
      <c r="BV46" s="282">
        <f>SUM(BS46:BU46)</f>
        <v>0</v>
      </c>
      <c r="BW46" s="74"/>
      <c r="BX46" s="70">
        <f t="shared" si="179"/>
        <v>0</v>
      </c>
      <c r="BY46" s="70">
        <f t="shared" si="180"/>
        <v>0</v>
      </c>
      <c r="BZ46" s="70">
        <f t="shared" si="181"/>
        <v>0</v>
      </c>
      <c r="CA46" s="282">
        <f>SUM(BX46:BZ46)</f>
        <v>0</v>
      </c>
      <c r="CB46" s="74"/>
      <c r="CC46" s="70">
        <f t="shared" si="182"/>
        <v>0</v>
      </c>
      <c r="CD46" s="70">
        <f t="shared" si="183"/>
        <v>0</v>
      </c>
      <c r="CE46" s="70">
        <f t="shared" si="184"/>
        <v>0</v>
      </c>
      <c r="CF46" s="282">
        <f>SUM(CC46:CE46)</f>
        <v>0</v>
      </c>
      <c r="CG46" s="88"/>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2" t="s">
        <v>207</v>
      </c>
      <c r="B47" s="161"/>
      <c r="C47" s="157"/>
      <c r="D47" s="161"/>
      <c r="E47" s="86"/>
      <c r="F47" s="105">
        <f>AC47</f>
        <v>129082.35642221538</v>
      </c>
      <c r="G47" s="77">
        <f>AH47</f>
        <v>161168.57042458723</v>
      </c>
      <c r="H47" s="77">
        <f>AM47</f>
        <v>178632.26018698377</v>
      </c>
      <c r="I47" s="77">
        <f>AR47</f>
        <v>253538.24658410822</v>
      </c>
      <c r="J47" s="72">
        <f>SUM(F47:I47)</f>
        <v>722421.43361789454</v>
      </c>
      <c r="K47" s="77">
        <f>AW47</f>
        <v>468592.42512322171</v>
      </c>
      <c r="L47" s="77">
        <f>BB47</f>
        <v>832306.5905212888</v>
      </c>
      <c r="M47" s="77">
        <f>BG47</f>
        <v>1486454.1577943664</v>
      </c>
      <c r="N47" s="77">
        <f>BL47</f>
        <v>2626148.5303277425</v>
      </c>
      <c r="O47" s="72">
        <f>SUM(K47:N47)</f>
        <v>5413501.7037666198</v>
      </c>
      <c r="P47" s="77">
        <f>BQ47</f>
        <v>4681723.4929626547</v>
      </c>
      <c r="Q47" s="77">
        <f>BV47</f>
        <v>8555832.0268256254</v>
      </c>
      <c r="R47" s="77">
        <f>CA47</f>
        <v>15501237.069601977</v>
      </c>
      <c r="S47" s="77">
        <f>CF47</f>
        <v>28560361.984897129</v>
      </c>
      <c r="T47" s="158">
        <f>SUM(P47:S47)</f>
        <v>57299154.574287385</v>
      </c>
      <c r="U47" s="162">
        <f>SUM(U33:U45)</f>
        <v>346268820.69476771</v>
      </c>
      <c r="V47" s="72">
        <f>SUM(V33:V45)</f>
        <v>664477470.20614219</v>
      </c>
      <c r="W47" s="89">
        <f>SUM(W33:W45)</f>
        <v>1272445755.8957977</v>
      </c>
      <c r="X47" s="178"/>
      <c r="Y47" s="509">
        <f>SUM(Y33:Y46)</f>
        <v>1083618.2</v>
      </c>
      <c r="Z47" s="77">
        <f>SUM(Z33:Z46)</f>
        <v>43027.45214073846</v>
      </c>
      <c r="AA47" s="77">
        <f>SUM(AA33:AA46)</f>
        <v>43027.45214073846</v>
      </c>
      <c r="AB47" s="77">
        <f>SUM(AB33:AB46)</f>
        <v>43027.45214073846</v>
      </c>
      <c r="AC47" s="72">
        <f>SUM(Z47:AB47)</f>
        <v>129082.35642221538</v>
      </c>
      <c r="AD47" s="72"/>
      <c r="AE47" s="77">
        <f>SUM(AE33:AE46)</f>
        <v>53722.856808195742</v>
      </c>
      <c r="AF47" s="77">
        <f>SUM(AF33:AF46)</f>
        <v>53722.856808195742</v>
      </c>
      <c r="AG47" s="77">
        <f>SUM(AG33:AG46)</f>
        <v>53722.856808195742</v>
      </c>
      <c r="AH47" s="72">
        <f>SUM(AE47:AG47)</f>
        <v>161168.57042458723</v>
      </c>
      <c r="AI47" s="72"/>
      <c r="AJ47" s="77">
        <f>SUM(AJ33:AJ46)</f>
        <v>59544.086728994589</v>
      </c>
      <c r="AK47" s="77">
        <f>SUM(AK33:AK46)</f>
        <v>59544.086728994589</v>
      </c>
      <c r="AL47" s="77">
        <f>SUM(AL33:AL46)</f>
        <v>59544.086728994589</v>
      </c>
      <c r="AM47" s="72">
        <f>SUM(AJ47:AL47)</f>
        <v>178632.26018698377</v>
      </c>
      <c r="AN47" s="72"/>
      <c r="AO47" s="77">
        <f>SUM(AO33:AO46)</f>
        <v>84512.7488613694</v>
      </c>
      <c r="AP47" s="77">
        <f>SUM(AP33:AP46)</f>
        <v>84512.7488613694</v>
      </c>
      <c r="AQ47" s="77">
        <f>SUM(AQ33:AQ46)</f>
        <v>84512.7488613694</v>
      </c>
      <c r="AR47" s="72">
        <f>SUM(AO47:AQ47)</f>
        <v>253538.24658410822</v>
      </c>
      <c r="AS47" s="72"/>
      <c r="AT47" s="77">
        <f>SUM(AT33:AT46)</f>
        <v>156197.47504107389</v>
      </c>
      <c r="AU47" s="77">
        <f>SUM(AU33:AU46)</f>
        <v>156197.47504107389</v>
      </c>
      <c r="AV47" s="77">
        <f>SUM(AV33:AV46)</f>
        <v>156197.47504107389</v>
      </c>
      <c r="AW47" s="72">
        <f>SUM(AT47:AV47)</f>
        <v>468592.42512322171</v>
      </c>
      <c r="AX47" s="72"/>
      <c r="AY47" s="77">
        <f>SUM(AY33:AY46)</f>
        <v>277435.53017376293</v>
      </c>
      <c r="AZ47" s="77">
        <f>SUM(AZ33:AZ46)</f>
        <v>277435.53017376293</v>
      </c>
      <c r="BA47" s="77">
        <f>SUM(BA33:BA46)</f>
        <v>277435.53017376293</v>
      </c>
      <c r="BB47" s="72">
        <f>SUM(AY47:BA47)</f>
        <v>832306.5905212888</v>
      </c>
      <c r="BC47" s="72"/>
      <c r="BD47" s="77">
        <f>SUM(BD33:BD46)</f>
        <v>495484.71926478879</v>
      </c>
      <c r="BE47" s="77">
        <f>SUM(BE33:BE46)</f>
        <v>495484.71926478879</v>
      </c>
      <c r="BF47" s="77">
        <f>SUM(BF33:BF46)</f>
        <v>495484.71926478879</v>
      </c>
      <c r="BG47" s="72">
        <f>SUM(BD47:BF47)</f>
        <v>1486454.1577943664</v>
      </c>
      <c r="BH47" s="72"/>
      <c r="BI47" s="77">
        <f>SUM(BI33:BI46)</f>
        <v>875382.84344258078</v>
      </c>
      <c r="BJ47" s="77">
        <f>SUM(BJ33:BJ46)</f>
        <v>875382.84344258078</v>
      </c>
      <c r="BK47" s="77">
        <f>SUM(BK33:BK46)</f>
        <v>875382.84344258078</v>
      </c>
      <c r="BL47" s="72">
        <f>SUM(BI47:BK47)</f>
        <v>2626148.5303277425</v>
      </c>
      <c r="BM47" s="72"/>
      <c r="BN47" s="77">
        <f>SUM(BN33:BN46)</f>
        <v>1560574.4976542182</v>
      </c>
      <c r="BO47" s="77">
        <f>SUM(BO33:BO46)</f>
        <v>1560574.4976542182</v>
      </c>
      <c r="BP47" s="77">
        <f>SUM(BP33:BP46)</f>
        <v>1560574.4976542182</v>
      </c>
      <c r="BQ47" s="72">
        <f>SUM(BN47:BP47)</f>
        <v>4681723.4929626547</v>
      </c>
      <c r="BR47" s="72"/>
      <c r="BS47" s="77">
        <f>SUM(BS33:BS46)</f>
        <v>2851944.0089418753</v>
      </c>
      <c r="BT47" s="77">
        <f>SUM(BT33:BT46)</f>
        <v>2851944.0089418753</v>
      </c>
      <c r="BU47" s="77">
        <f>SUM(BU33:BU46)</f>
        <v>2851944.0089418753</v>
      </c>
      <c r="BV47" s="72">
        <f>SUM(BS47:BU47)</f>
        <v>8555832.0268256254</v>
      </c>
      <c r="BW47" s="72"/>
      <c r="BX47" s="77">
        <f>SUM(BX33:BX46)</f>
        <v>5167079.0232006591</v>
      </c>
      <c r="BY47" s="77">
        <f>SUM(BY33:BY46)</f>
        <v>5167079.0232006591</v>
      </c>
      <c r="BZ47" s="77">
        <f>SUM(BZ33:BZ46)</f>
        <v>5167079.0232006591</v>
      </c>
      <c r="CA47" s="72">
        <f>SUM(BX47:BZ47)</f>
        <v>15501237.069601977</v>
      </c>
      <c r="CB47" s="72"/>
      <c r="CC47" s="77">
        <f>SUM(CC33:CC46)</f>
        <v>9520120.6616323758</v>
      </c>
      <c r="CD47" s="77">
        <f>SUM(CD33:CD46)</f>
        <v>9520120.6616323758</v>
      </c>
      <c r="CE47" s="77">
        <f>SUM(CE33:CE46)</f>
        <v>9520120.6616323758</v>
      </c>
      <c r="CF47" s="72">
        <f>SUM(CC47:CE47)</f>
        <v>28560361.984897129</v>
      </c>
      <c r="CG47" s="89"/>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3"/>
      <c r="B48" s="40"/>
      <c r="C48" s="108"/>
      <c r="D48" s="40"/>
      <c r="E48" s="42"/>
      <c r="F48" s="106"/>
      <c r="G48" s="67"/>
      <c r="H48" s="67"/>
      <c r="I48" s="67"/>
      <c r="J48" s="67"/>
      <c r="K48" s="67"/>
      <c r="L48" s="67"/>
      <c r="M48" s="67"/>
      <c r="N48" s="67"/>
      <c r="O48" s="67"/>
      <c r="P48" s="67"/>
      <c r="Q48" s="67"/>
      <c r="R48" s="67"/>
      <c r="S48" s="67"/>
      <c r="T48" s="159"/>
      <c r="U48" s="163"/>
      <c r="V48" s="67"/>
      <c r="W48" s="68"/>
      <c r="X48" s="167"/>
      <c r="Y48" s="78"/>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80"/>
      <c r="CG48" s="81"/>
    </row>
    <row r="49" spans="1:175" s="9" customFormat="1" ht="15" customHeight="1" thickBot="1" x14ac:dyDescent="0.2">
      <c r="A49" s="132" t="s">
        <v>208</v>
      </c>
      <c r="B49" s="311"/>
      <c r="C49" s="312"/>
      <c r="D49" s="311"/>
      <c r="E49" s="313"/>
      <c r="F49" s="107">
        <f>AC49</f>
        <v>-129082.35642221538</v>
      </c>
      <c r="G49" s="97">
        <f>AH49</f>
        <v>-161168.57042458723</v>
      </c>
      <c r="H49" s="97">
        <f>AM49</f>
        <v>-144797.36975878995</v>
      </c>
      <c r="I49" s="97">
        <f>AR49</f>
        <v>-94662.784780465736</v>
      </c>
      <c r="J49" s="83">
        <f>SUM(F49:I49)</f>
        <v>-529711.08138605824</v>
      </c>
      <c r="K49" s="97">
        <f>AW49</f>
        <v>-60515.552118210646</v>
      </c>
      <c r="L49" s="95">
        <f>BB49</f>
        <v>11103.63596262713</v>
      </c>
      <c r="M49" s="95">
        <f>BG49</f>
        <v>132031.81268164632</v>
      </c>
      <c r="N49" s="95">
        <f>BL49</f>
        <v>458014.94217915414</v>
      </c>
      <c r="O49" s="83">
        <f>SUM(K49:N49)</f>
        <v>540634.838705217</v>
      </c>
      <c r="P49" s="95">
        <f>BQ49</f>
        <v>1503062.4539294355</v>
      </c>
      <c r="Q49" s="95">
        <f>BV49</f>
        <v>3630787.7825626284</v>
      </c>
      <c r="R49" s="95">
        <f>CA49</f>
        <v>9080953.2823331822</v>
      </c>
      <c r="S49" s="95">
        <f>CF49</f>
        <v>22098465.262652576</v>
      </c>
      <c r="T49" s="308">
        <f>SUM(P49:S49)</f>
        <v>36313268.781477824</v>
      </c>
      <c r="U49" s="309">
        <f>SUM(U30-U47)</f>
        <v>205844126.85435021</v>
      </c>
      <c r="V49" s="83">
        <f>SUM(V30-V47)</f>
        <v>794464822.88696814</v>
      </c>
      <c r="W49" s="310">
        <f>SUM(W30-W47)</f>
        <v>1804056924.8896618</v>
      </c>
      <c r="X49" s="179"/>
      <c r="Y49" s="510">
        <f>SUM(Y30-Y47)</f>
        <v>-1083618.2</v>
      </c>
      <c r="Z49" s="96">
        <f>Z30-Z47</f>
        <v>-43027.45214073846</v>
      </c>
      <c r="AA49" s="96">
        <f>AA30-AA47</f>
        <v>-43027.45214073846</v>
      </c>
      <c r="AB49" s="96">
        <f>AB30-AB47</f>
        <v>-43027.45214073846</v>
      </c>
      <c r="AC49" s="82">
        <f>AC30-AC47</f>
        <v>-129082.35642221538</v>
      </c>
      <c r="AD49" s="82"/>
      <c r="AE49" s="96">
        <f>AE30-AE47</f>
        <v>-53722.856808195742</v>
      </c>
      <c r="AF49" s="96">
        <f>AF30-AF47</f>
        <v>-53722.856808195742</v>
      </c>
      <c r="AG49" s="96">
        <f>AG30-AG47</f>
        <v>-53722.856808195742</v>
      </c>
      <c r="AH49" s="82">
        <f>AH30-AH47</f>
        <v>-161168.57042458723</v>
      </c>
      <c r="AI49" s="82"/>
      <c r="AJ49" s="96">
        <f>AJ30-AJ47</f>
        <v>-52956.326048886927</v>
      </c>
      <c r="AK49" s="96">
        <f>AK30-AK47</f>
        <v>-48445.795529903829</v>
      </c>
      <c r="AL49" s="96">
        <f>AL30-AL47</f>
        <v>-43395.248179999195</v>
      </c>
      <c r="AM49" s="82">
        <f>AM30-AM47</f>
        <v>-144797.36975878995</v>
      </c>
      <c r="AN49" s="82"/>
      <c r="AO49" s="96">
        <f>AO30-AO47</f>
        <v>-43496.442587162688</v>
      </c>
      <c r="AP49" s="96">
        <f>AP30-AP47</f>
        <v>-31896.563304796895</v>
      </c>
      <c r="AQ49" s="96">
        <f>AQ30-AQ47</f>
        <v>-19269.778888506124</v>
      </c>
      <c r="AR49" s="82">
        <f>AR30-AR47</f>
        <v>-94662.784780465736</v>
      </c>
      <c r="AS49" s="82"/>
      <c r="AT49" s="96">
        <f>AT30-AT47</f>
        <v>-42520.863273819763</v>
      </c>
      <c r="AU49" s="96">
        <f>AU30-AU47</f>
        <v>-20610.035825705418</v>
      </c>
      <c r="AV49" s="96">
        <f>AV30-AV47</f>
        <v>2615.3469813145639</v>
      </c>
      <c r="AW49" s="82">
        <f>AW30-AW47</f>
        <v>-60515.552118210646</v>
      </c>
      <c r="AX49" s="82"/>
      <c r="AY49" s="96">
        <f>AY30-AY47</f>
        <v>-35831.024663139455</v>
      </c>
      <c r="AZ49" s="96">
        <f>AZ30-AZ47</f>
        <v>3245.3970730648725</v>
      </c>
      <c r="BA49" s="96">
        <f>BA30-BA47</f>
        <v>43689.263552701625</v>
      </c>
      <c r="BB49" s="82">
        <f>BB30-BB47</f>
        <v>11103.63596262713</v>
      </c>
      <c r="BC49" s="82"/>
      <c r="BD49" s="96">
        <f>BD30-BD47</f>
        <v>-31252.912041779491</v>
      </c>
      <c r="BE49" s="96">
        <f>BE30-BE47</f>
        <v>43216.471147061093</v>
      </c>
      <c r="BF49" s="96">
        <f>BF30-BF47</f>
        <v>120068.25357636472</v>
      </c>
      <c r="BG49" s="82">
        <f>BG30-BG47</f>
        <v>132031.81268164632</v>
      </c>
      <c r="BH49" s="82"/>
      <c r="BI49" s="96">
        <f>BI30-BI47</f>
        <v>-1347.2958326032385</v>
      </c>
      <c r="BJ49" s="96">
        <f>BJ30-BJ47</f>
        <v>150896.09430880507</v>
      </c>
      <c r="BK49" s="96">
        <f>BK30-BK47</f>
        <v>308466.14370295254</v>
      </c>
      <c r="BL49" s="82">
        <f>BL30-BL47</f>
        <v>458014.94217915414</v>
      </c>
      <c r="BM49" s="82"/>
      <c r="BN49" s="96">
        <f>BN30-BN47</f>
        <v>175969.38239050331</v>
      </c>
      <c r="BO49" s="96">
        <f>BO30-BO47</f>
        <v>496956.95036341134</v>
      </c>
      <c r="BP49" s="96">
        <f>BP30-BP47</f>
        <v>830136.12117552152</v>
      </c>
      <c r="BQ49" s="82">
        <f>BQ30-BQ47</f>
        <v>1503062.4539294355</v>
      </c>
      <c r="BR49" s="82"/>
      <c r="BS49" s="96">
        <f>BS30-BS47</f>
        <v>536806.09590664785</v>
      </c>
      <c r="BT49" s="96">
        <f>BT30-BT47</f>
        <v>1201189.0099754538</v>
      </c>
      <c r="BU49" s="96">
        <f>BU30-BU47</f>
        <v>1892792.6766805272</v>
      </c>
      <c r="BV49" s="82">
        <f>BV30-BV47</f>
        <v>3630787.7825626284</v>
      </c>
      <c r="BW49" s="82"/>
      <c r="BX49" s="96">
        <f>BX30-BX47</f>
        <v>1571965.7151664104</v>
      </c>
      <c r="BY49" s="96">
        <f>BY30-BY47</f>
        <v>3005973.8453819919</v>
      </c>
      <c r="BZ49" s="96">
        <f>BZ30-BZ47</f>
        <v>4503013.7217847798</v>
      </c>
      <c r="CA49" s="82">
        <f>CA30-CA47</f>
        <v>9080953.2823331822</v>
      </c>
      <c r="CB49" s="82"/>
      <c r="CC49" s="96">
        <f>CC30-CC47</f>
        <v>4223851.1723554786</v>
      </c>
      <c r="CD49" s="96">
        <f>CD30-CD47</f>
        <v>7317759.9071527887</v>
      </c>
      <c r="CE49" s="96">
        <f>CE30-CE47</f>
        <v>10556854.18314431</v>
      </c>
      <c r="CF49" s="83">
        <f>CF30-CF47</f>
        <v>22098465.262652576</v>
      </c>
      <c r="CG49" s="310"/>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15"/>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58"/>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15"/>
      <c r="B54" s="200"/>
      <c r="C54" s="200"/>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53" t="s">
        <v>52</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48"/>
      <c r="E56" s="17"/>
      <c r="F56" s="23"/>
      <c r="G56" s="23"/>
      <c r="H56" s="23"/>
      <c r="I56" s="23"/>
      <c r="J56" s="353" t="s">
        <v>52</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53" t="s">
        <v>52</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53"/>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53"/>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59"/>
      <c r="C60" s="12"/>
      <c r="D60" s="19"/>
      <c r="E60" s="12"/>
      <c r="F60" s="23"/>
      <c r="G60" s="23"/>
      <c r="H60" s="23"/>
      <c r="I60" s="23"/>
      <c r="J60" s="353"/>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59"/>
      <c r="C61" s="12"/>
      <c r="D61" s="19"/>
      <c r="E61" s="12"/>
      <c r="F61" s="23"/>
      <c r="G61" s="23"/>
      <c r="H61" s="23"/>
      <c r="I61" s="23"/>
      <c r="J61" s="353"/>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53" t="s">
        <v>52</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51"/>
      <c r="G63" s="351"/>
      <c r="H63" s="351"/>
      <c r="I63" s="351"/>
      <c r="J63" s="352" t="s">
        <v>52</v>
      </c>
      <c r="K63" s="26"/>
      <c r="L63" s="26"/>
      <c r="M63" s="26"/>
      <c r="N63" s="26"/>
      <c r="O63" s="26"/>
      <c r="P63" s="26"/>
      <c r="Q63" s="26"/>
      <c r="R63" s="26"/>
      <c r="S63" s="26"/>
      <c r="T63" s="26"/>
      <c r="U63" s="26"/>
      <c r="V63" s="26"/>
      <c r="W63" s="26"/>
      <c r="X63" s="26"/>
      <c r="Y63" s="26"/>
      <c r="Z63" s="12"/>
      <c r="AA63" s="13"/>
      <c r="AB63" s="13"/>
      <c r="AC63" s="13"/>
      <c r="AD63" s="111"/>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59"/>
      <c r="C64" s="12"/>
      <c r="D64" s="19"/>
      <c r="E64" s="12"/>
      <c r="F64" s="351"/>
      <c r="G64" s="351"/>
      <c r="H64" s="351"/>
      <c r="I64" s="351"/>
      <c r="J64" s="352"/>
      <c r="K64" s="26"/>
      <c r="L64" s="26"/>
      <c r="M64" s="26"/>
      <c r="N64" s="26"/>
      <c r="O64" s="26"/>
      <c r="P64" s="26"/>
      <c r="Q64" s="26"/>
      <c r="R64" s="26"/>
      <c r="S64" s="26"/>
      <c r="T64" s="26"/>
      <c r="U64" s="26"/>
      <c r="V64" s="26"/>
      <c r="W64" s="26"/>
      <c r="X64" s="26"/>
      <c r="Y64" s="26"/>
      <c r="Z64" s="12"/>
      <c r="AA64" s="13"/>
      <c r="AB64" s="13"/>
      <c r="AC64" s="13"/>
      <c r="AD64" s="111"/>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54" t="s">
        <v>52</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53" t="s">
        <v>52</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53" t="s">
        <v>52</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59"/>
      <c r="C68" s="12"/>
      <c r="D68" s="12"/>
      <c r="E68" s="12"/>
      <c r="F68" s="23"/>
      <c r="G68" s="23"/>
      <c r="H68" s="23"/>
      <c r="I68" s="23"/>
      <c r="J68" s="353"/>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52"/>
      <c r="K69" s="26"/>
      <c r="L69" s="26"/>
      <c r="M69" s="26"/>
      <c r="N69" s="26"/>
      <c r="O69" s="26"/>
      <c r="P69" s="26"/>
      <c r="Q69" s="26"/>
      <c r="R69" s="26"/>
      <c r="S69" s="26"/>
      <c r="T69" s="26"/>
      <c r="U69" s="26"/>
      <c r="V69" s="26"/>
      <c r="W69" s="26"/>
      <c r="X69" s="26"/>
      <c r="Y69" s="26"/>
      <c r="Z69" s="12"/>
      <c r="AA69" s="13"/>
      <c r="AB69" s="13"/>
      <c r="AC69" s="13"/>
      <c r="AD69" s="111"/>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52"/>
      <c r="K70" s="26"/>
      <c r="L70" s="26"/>
      <c r="M70" s="26"/>
      <c r="N70" s="26"/>
      <c r="O70" s="26"/>
      <c r="P70" s="26"/>
      <c r="Q70" s="26"/>
      <c r="R70" s="26"/>
      <c r="S70" s="26"/>
      <c r="T70" s="26"/>
      <c r="U70" s="26"/>
      <c r="V70" s="26"/>
      <c r="W70" s="26"/>
      <c r="X70" s="26"/>
      <c r="Y70" s="26"/>
      <c r="Z70" s="12"/>
      <c r="AA70" s="13"/>
      <c r="AB70" s="13"/>
      <c r="AC70" s="13"/>
      <c r="AD70" s="111"/>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199"/>
      <c r="B71" s="12"/>
      <c r="C71" s="12"/>
      <c r="D71" s="12"/>
      <c r="E71" s="12"/>
      <c r="F71" s="23"/>
      <c r="G71" s="23"/>
      <c r="H71" s="23"/>
      <c r="I71" s="23"/>
      <c r="J71" s="353" t="s">
        <v>52</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01"/>
      <c r="B72" s="14"/>
      <c r="C72" s="14"/>
      <c r="F72" s="27"/>
      <c r="G72" s="27"/>
      <c r="H72" s="27"/>
      <c r="I72" s="27"/>
      <c r="J72" s="354" t="s">
        <v>52</v>
      </c>
      <c r="K72" s="27"/>
      <c r="L72" s="27"/>
      <c r="M72" s="27"/>
      <c r="N72" s="27"/>
      <c r="O72" s="27"/>
      <c r="P72" s="27"/>
      <c r="Q72" s="27"/>
      <c r="R72" s="27"/>
      <c r="S72" s="27"/>
      <c r="T72" s="27"/>
      <c r="U72" s="27"/>
      <c r="V72" s="27"/>
      <c r="W72" s="27"/>
      <c r="X72" s="27"/>
      <c r="Y72" s="27"/>
    </row>
    <row r="73" spans="1:85" x14ac:dyDescent="0.2">
      <c r="A73" s="12"/>
      <c r="B73" s="12"/>
      <c r="C73" s="200"/>
      <c r="D73" s="8"/>
      <c r="E73" s="8"/>
      <c r="F73" s="27"/>
      <c r="G73" s="27"/>
      <c r="H73" s="27"/>
      <c r="I73" s="27"/>
      <c r="J73" s="354" t="s">
        <v>52</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54" t="s">
        <v>52</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54"/>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53" t="s">
        <v>52</v>
      </c>
      <c r="K76" s="28"/>
      <c r="L76" s="28"/>
      <c r="M76" s="28"/>
      <c r="N76" s="28"/>
      <c r="O76" s="28"/>
      <c r="P76" s="28"/>
      <c r="Q76" s="28"/>
      <c r="R76" s="28"/>
      <c r="S76" s="28"/>
      <c r="T76" s="28"/>
      <c r="U76" s="28"/>
      <c r="V76" s="28"/>
      <c r="W76" s="28"/>
      <c r="X76" s="28"/>
      <c r="Y76" s="28"/>
    </row>
    <row r="77" spans="1:85" s="9" customFormat="1" ht="11.25" customHeight="1" x14ac:dyDescent="0.15">
      <c r="A77" s="199"/>
      <c r="B77" s="12"/>
      <c r="C77" s="12"/>
      <c r="D77" s="12"/>
      <c r="E77" s="12"/>
      <c r="F77" s="24"/>
      <c r="G77" s="24"/>
      <c r="H77" s="24"/>
      <c r="I77" s="24"/>
      <c r="J77" s="353" t="s">
        <v>52</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52" t="s">
        <v>52</v>
      </c>
      <c r="K78" s="27"/>
      <c r="L78" s="27"/>
      <c r="M78" s="27"/>
      <c r="N78" s="27"/>
      <c r="O78" s="27"/>
      <c r="P78" s="27"/>
      <c r="Q78" s="27"/>
      <c r="R78" s="27"/>
      <c r="S78" s="27"/>
      <c r="T78" s="27"/>
      <c r="U78" s="27"/>
      <c r="V78" s="27"/>
      <c r="W78" s="27"/>
      <c r="X78" s="27"/>
      <c r="Y78" s="27"/>
    </row>
    <row r="79" spans="1:85" x14ac:dyDescent="0.2">
      <c r="F79" s="27"/>
      <c r="G79" s="27"/>
      <c r="H79" s="27"/>
      <c r="I79" s="27"/>
      <c r="J79" s="353" t="s">
        <v>52</v>
      </c>
      <c r="K79" s="27"/>
      <c r="L79" s="27"/>
      <c r="M79" s="27"/>
      <c r="N79" s="27"/>
      <c r="O79" s="27"/>
      <c r="P79" s="27"/>
      <c r="Q79" s="27"/>
      <c r="R79" s="27"/>
      <c r="S79" s="27"/>
      <c r="T79" s="27"/>
      <c r="U79" s="27"/>
      <c r="V79" s="27"/>
      <c r="W79" s="27"/>
      <c r="X79" s="27"/>
      <c r="Y79" s="27"/>
    </row>
    <row r="80" spans="1:85" x14ac:dyDescent="0.2">
      <c r="F80" s="29"/>
      <c r="G80" s="29"/>
      <c r="H80" s="29"/>
      <c r="I80" s="29"/>
      <c r="J80" s="353" t="s">
        <v>52</v>
      </c>
      <c r="K80" s="29"/>
      <c r="L80" s="29"/>
      <c r="M80" s="29"/>
      <c r="N80" s="29"/>
      <c r="O80" s="29"/>
      <c r="P80" s="29"/>
      <c r="Q80" s="29"/>
      <c r="R80" s="29"/>
      <c r="S80" s="29"/>
      <c r="T80" s="29"/>
      <c r="U80" s="29"/>
      <c r="V80" s="29"/>
      <c r="W80" s="29"/>
      <c r="X80" s="29"/>
      <c r="Y80" s="29"/>
    </row>
    <row r="81" spans="1:25" x14ac:dyDescent="0.2">
      <c r="F81" s="27"/>
      <c r="G81" s="27"/>
      <c r="H81" s="27"/>
      <c r="I81" s="27"/>
      <c r="J81" s="353" t="s">
        <v>52</v>
      </c>
      <c r="K81" s="27"/>
      <c r="L81" s="27"/>
      <c r="M81" s="27"/>
      <c r="N81" s="27"/>
      <c r="O81" s="27"/>
      <c r="P81" s="27"/>
      <c r="Q81" s="27"/>
      <c r="R81" s="27"/>
      <c r="S81" s="27"/>
      <c r="T81" s="27"/>
      <c r="U81" s="27"/>
      <c r="V81" s="27"/>
      <c r="W81" s="27"/>
      <c r="X81" s="27"/>
      <c r="Y81" s="27"/>
    </row>
    <row r="82" spans="1:25" x14ac:dyDescent="0.2">
      <c r="J82" s="353" t="s">
        <v>52</v>
      </c>
    </row>
    <row r="83" spans="1:25" x14ac:dyDescent="0.2">
      <c r="J83" s="353" t="s">
        <v>52</v>
      </c>
    </row>
    <row r="84" spans="1:25" x14ac:dyDescent="0.2">
      <c r="C84" s="3" t="s">
        <v>225</v>
      </c>
      <c r="J84" s="352" t="s">
        <v>52</v>
      </c>
      <c r="M84" s="3" t="s">
        <v>226</v>
      </c>
    </row>
    <row r="85" spans="1:25" x14ac:dyDescent="0.2">
      <c r="J85" s="353" t="s">
        <v>52</v>
      </c>
    </row>
    <row r="86" spans="1:25" x14ac:dyDescent="0.2">
      <c r="J86" s="353" t="s">
        <v>52</v>
      </c>
    </row>
    <row r="87" spans="1:25" x14ac:dyDescent="0.2">
      <c r="J87" s="353" t="s">
        <v>52</v>
      </c>
    </row>
    <row r="88" spans="1:25" x14ac:dyDescent="0.2">
      <c r="A88" s="3"/>
      <c r="D88" s="3"/>
      <c r="E88" s="3"/>
      <c r="J88" s="353" t="s">
        <v>52</v>
      </c>
    </row>
    <row r="89" spans="1:25" x14ac:dyDescent="0.2">
      <c r="J89" s="353" t="s">
        <v>52</v>
      </c>
    </row>
    <row r="90" spans="1:25" x14ac:dyDescent="0.2">
      <c r="J90" s="353" t="s">
        <v>52</v>
      </c>
    </row>
    <row r="91" spans="1:25" x14ac:dyDescent="0.2">
      <c r="J91" s="353" t="s">
        <v>52</v>
      </c>
    </row>
    <row r="92" spans="1:25" x14ac:dyDescent="0.2">
      <c r="J92" s="353" t="s">
        <v>52</v>
      </c>
    </row>
    <row r="93" spans="1:25" x14ac:dyDescent="0.2">
      <c r="J93" s="353" t="s">
        <v>52</v>
      </c>
    </row>
    <row r="94" spans="1:25" x14ac:dyDescent="0.2">
      <c r="F94" s="3"/>
      <c r="G94" s="3"/>
      <c r="H94" s="3"/>
      <c r="I94" s="3"/>
      <c r="J94" s="354" t="s">
        <v>52</v>
      </c>
      <c r="K94" s="3"/>
      <c r="L94" s="3"/>
      <c r="M94" s="3"/>
      <c r="N94" s="3"/>
      <c r="O94" s="3"/>
      <c r="P94" s="3"/>
      <c r="Q94" s="3"/>
      <c r="R94" s="3"/>
      <c r="S94" s="3"/>
      <c r="T94" s="3"/>
      <c r="U94" s="3"/>
      <c r="V94" s="3"/>
      <c r="W94" s="3"/>
      <c r="X94" s="4"/>
      <c r="Y94" s="3"/>
    </row>
    <row r="95" spans="1:25" x14ac:dyDescent="0.2">
      <c r="J95" s="354" t="s">
        <v>52</v>
      </c>
    </row>
    <row r="96" spans="1:25" x14ac:dyDescent="0.2">
      <c r="J96" s="354"/>
    </row>
    <row r="97" spans="3:28" x14ac:dyDescent="0.2">
      <c r="J97" s="354"/>
    </row>
    <row r="104" spans="3:28" ht="15" x14ac:dyDescent="0.25">
      <c r="D104" s="133"/>
      <c r="E104" s="133"/>
      <c r="F104" s="134"/>
      <c r="G104" s="135"/>
      <c r="H104" s="134"/>
      <c r="I104" s="133"/>
      <c r="J104" s="134"/>
      <c r="K104" s="133"/>
      <c r="L104" s="134"/>
      <c r="M104" s="133"/>
      <c r="N104" s="134"/>
      <c r="O104" s="133"/>
      <c r="P104" s="134"/>
      <c r="Q104"/>
      <c r="R104"/>
      <c r="S104"/>
      <c r="T104"/>
      <c r="U104"/>
      <c r="V104"/>
      <c r="W104"/>
      <c r="X104" s="166"/>
      <c r="Y104"/>
      <c r="Z104"/>
      <c r="AA104"/>
      <c r="AB104"/>
    </row>
    <row r="112" spans="3:28" x14ac:dyDescent="0.2">
      <c r="C112" s="3" t="s">
        <v>227</v>
      </c>
    </row>
    <row r="178" spans="12:12" x14ac:dyDescent="0.2">
      <c r="L178" s="3" t="s">
        <v>237</v>
      </c>
    </row>
  </sheetData>
  <mergeCells count="12">
    <mergeCell ref="U2:W2"/>
    <mergeCell ref="D4:E4"/>
    <mergeCell ref="D29:E29"/>
    <mergeCell ref="A1:A2"/>
    <mergeCell ref="B1:C1"/>
    <mergeCell ref="D1:E1"/>
    <mergeCell ref="F1:I1"/>
    <mergeCell ref="K1:N1"/>
    <mergeCell ref="P1:S1"/>
    <mergeCell ref="B2:C2"/>
    <mergeCell ref="D2:E2"/>
    <mergeCell ref="B29:C29"/>
  </mergeCells>
  <conditionalFormatting sqref="F49:I49 K49:N49 P49:S49 Z49:AB49 AE49:AG49 AJ49:AL49 AO49:AQ49 AY49:BA49 BD49:BF49 BI49:BK49 BN49:BP49 BS49:BU49 BX49:BZ49 CC49:CE49">
    <cfRule type="cellIs" dxfId="23" priority="5" operator="lessThan">
      <formula>0</formula>
    </cfRule>
    <cfRule type="cellIs" dxfId="22" priority="6" operator="greaterThan">
      <formula>0</formula>
    </cfRule>
  </conditionalFormatting>
  <conditionalFormatting sqref="F49:I49 K49:N49 P49:S49 Z49:AB49 AE49:AG49 AJ49:AL49 AO49:AQ49 AY49:BA49 BD49:BF49 BI49:BK49 BN49:BP49 BS49:BU49 BX49:BZ49 CC49:CE49 AT49:AV49">
    <cfRule type="cellIs" dxfId="21" priority="3" operator="lessThan">
      <formula>0</formula>
    </cfRule>
    <cfRule type="cellIs" dxfId="20" priority="4" operator="greaterThan">
      <formula>0</formula>
    </cfRule>
  </conditionalFormatting>
  <conditionalFormatting sqref="U49:W49">
    <cfRule type="cellIs" dxfId="19" priority="1" operator="lessThan">
      <formula>0</formula>
    </cfRule>
    <cfRule type="cellIs" dxfId="18"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A58" sqref="A58"/>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34" t="s">
        <v>171</v>
      </c>
      <c r="B1" s="636" t="s">
        <v>172</v>
      </c>
      <c r="C1" s="637"/>
      <c r="D1" s="638" t="s">
        <v>150</v>
      </c>
      <c r="E1" s="639"/>
      <c r="F1" s="627" t="s">
        <v>212</v>
      </c>
      <c r="G1" s="628"/>
      <c r="H1" s="628"/>
      <c r="I1" s="629"/>
      <c r="J1" s="44">
        <v>2019</v>
      </c>
      <c r="K1" s="627" t="s">
        <v>213</v>
      </c>
      <c r="L1" s="628"/>
      <c r="M1" s="628"/>
      <c r="N1" s="629"/>
      <c r="O1" s="44">
        <v>2020</v>
      </c>
      <c r="P1" s="627" t="s">
        <v>253</v>
      </c>
      <c r="Q1" s="628"/>
      <c r="R1" s="628"/>
      <c r="S1" s="629"/>
      <c r="T1" s="94">
        <v>2021</v>
      </c>
      <c r="U1" s="164">
        <v>2022</v>
      </c>
      <c r="V1" s="44">
        <v>2023</v>
      </c>
      <c r="W1" s="165">
        <v>2024</v>
      </c>
      <c r="X1" s="170"/>
      <c r="Y1" s="511" t="s">
        <v>270</v>
      </c>
      <c r="Z1" s="38">
        <v>2019</v>
      </c>
      <c r="AA1" s="38">
        <v>2019</v>
      </c>
      <c r="AB1" s="38">
        <v>2019</v>
      </c>
      <c r="AC1" s="44" t="s">
        <v>11</v>
      </c>
      <c r="AD1" s="44" t="s">
        <v>11</v>
      </c>
      <c r="AE1" s="38">
        <v>2019</v>
      </c>
      <c r="AF1" s="38">
        <v>2019</v>
      </c>
      <c r="AG1" s="38">
        <v>2019</v>
      </c>
      <c r="AH1" s="44" t="s">
        <v>12</v>
      </c>
      <c r="AI1" s="44" t="s">
        <v>12</v>
      </c>
      <c r="AJ1" s="38">
        <v>2019</v>
      </c>
      <c r="AK1" s="38">
        <v>2019</v>
      </c>
      <c r="AL1" s="38">
        <v>2019</v>
      </c>
      <c r="AM1" s="44" t="s">
        <v>13</v>
      </c>
      <c r="AN1" s="44" t="s">
        <v>13</v>
      </c>
      <c r="AO1" s="38">
        <v>2019</v>
      </c>
      <c r="AP1" s="38">
        <v>2019</v>
      </c>
      <c r="AQ1" s="38">
        <v>2019</v>
      </c>
      <c r="AR1" s="44" t="s">
        <v>10</v>
      </c>
      <c r="AS1" s="44" t="s">
        <v>10</v>
      </c>
      <c r="AT1" s="38">
        <v>2020</v>
      </c>
      <c r="AU1" s="37">
        <v>2020</v>
      </c>
      <c r="AV1" s="37">
        <v>2020</v>
      </c>
      <c r="AW1" s="44" t="s">
        <v>9</v>
      </c>
      <c r="AX1" s="44" t="s">
        <v>9</v>
      </c>
      <c r="AY1" s="37">
        <v>2020</v>
      </c>
      <c r="AZ1" s="37">
        <v>2020</v>
      </c>
      <c r="BA1" s="37">
        <v>2020</v>
      </c>
      <c r="BB1" s="44" t="s">
        <v>8</v>
      </c>
      <c r="BC1" s="44" t="s">
        <v>8</v>
      </c>
      <c r="BD1" s="37">
        <v>2020</v>
      </c>
      <c r="BE1" s="37">
        <v>2020</v>
      </c>
      <c r="BF1" s="37">
        <v>2020</v>
      </c>
      <c r="BG1" s="44" t="s">
        <v>15</v>
      </c>
      <c r="BH1" s="44" t="s">
        <v>15</v>
      </c>
      <c r="BI1" s="39">
        <v>2020</v>
      </c>
      <c r="BJ1" s="39">
        <v>2020</v>
      </c>
      <c r="BK1" s="39">
        <v>2020</v>
      </c>
      <c r="BL1" s="44" t="s">
        <v>16</v>
      </c>
      <c r="BM1" s="44" t="s">
        <v>16</v>
      </c>
      <c r="BN1" s="39">
        <v>2021</v>
      </c>
      <c r="BO1" s="39">
        <v>2021</v>
      </c>
      <c r="BP1" s="39">
        <v>2021</v>
      </c>
      <c r="BQ1" s="44" t="s">
        <v>256</v>
      </c>
      <c r="BR1" s="44" t="s">
        <v>256</v>
      </c>
      <c r="BS1" s="39">
        <v>2021</v>
      </c>
      <c r="BT1" s="39">
        <v>2021</v>
      </c>
      <c r="BU1" s="39">
        <v>2021</v>
      </c>
      <c r="BV1" s="44" t="s">
        <v>257</v>
      </c>
      <c r="BW1" s="44" t="s">
        <v>257</v>
      </c>
      <c r="BX1" s="39">
        <v>2021</v>
      </c>
      <c r="BY1" s="39">
        <v>2021</v>
      </c>
      <c r="BZ1" s="39">
        <v>2021</v>
      </c>
      <c r="CA1" s="44" t="s">
        <v>258</v>
      </c>
      <c r="CB1" s="44" t="s">
        <v>258</v>
      </c>
      <c r="CC1" s="39">
        <v>2021</v>
      </c>
      <c r="CD1" s="39">
        <v>2021</v>
      </c>
      <c r="CE1" s="39">
        <v>2021</v>
      </c>
      <c r="CF1" s="44" t="s">
        <v>255</v>
      </c>
      <c r="CG1" s="44" t="s">
        <v>255</v>
      </c>
    </row>
    <row r="2" spans="1:175" s="2" customFormat="1" ht="10.5" customHeight="1" thickBot="1" x14ac:dyDescent="0.25">
      <c r="A2" s="635"/>
      <c r="B2" s="723" t="s">
        <v>153</v>
      </c>
      <c r="C2" s="724"/>
      <c r="D2" s="632" t="s">
        <v>173</v>
      </c>
      <c r="E2" s="633"/>
      <c r="F2" s="93" t="s">
        <v>53</v>
      </c>
      <c r="G2" s="90" t="s">
        <v>54</v>
      </c>
      <c r="H2" s="90" t="s">
        <v>6</v>
      </c>
      <c r="I2" s="91" t="s">
        <v>7</v>
      </c>
      <c r="J2" s="92" t="s">
        <v>214</v>
      </c>
      <c r="K2" s="93" t="s">
        <v>4</v>
      </c>
      <c r="L2" s="90" t="s">
        <v>5</v>
      </c>
      <c r="M2" s="90" t="s">
        <v>6</v>
      </c>
      <c r="N2" s="91" t="s">
        <v>7</v>
      </c>
      <c r="O2" s="92" t="s">
        <v>214</v>
      </c>
      <c r="P2" s="93" t="s">
        <v>4</v>
      </c>
      <c r="Q2" s="90" t="s">
        <v>5</v>
      </c>
      <c r="R2" s="90" t="s">
        <v>6</v>
      </c>
      <c r="S2" s="91" t="s">
        <v>7</v>
      </c>
      <c r="T2" s="156" t="s">
        <v>214</v>
      </c>
      <c r="U2" s="640" t="s">
        <v>254</v>
      </c>
      <c r="V2" s="641"/>
      <c r="W2" s="642"/>
      <c r="X2" s="171"/>
      <c r="Y2" s="513" t="s">
        <v>215</v>
      </c>
      <c r="Z2" s="47" t="s">
        <v>216</v>
      </c>
      <c r="AA2" s="48" t="s">
        <v>224</v>
      </c>
      <c r="AB2" s="48" t="s">
        <v>217</v>
      </c>
      <c r="AC2" s="49" t="s">
        <v>223</v>
      </c>
      <c r="AD2" s="49" t="s">
        <v>14</v>
      </c>
      <c r="AE2" s="48" t="s">
        <v>0</v>
      </c>
      <c r="AF2" s="48" t="s">
        <v>218</v>
      </c>
      <c r="AG2" s="48" t="s">
        <v>219</v>
      </c>
      <c r="AH2" s="49" t="s">
        <v>223</v>
      </c>
      <c r="AI2" s="49" t="s">
        <v>14</v>
      </c>
      <c r="AJ2" s="48" t="s">
        <v>220</v>
      </c>
      <c r="AK2" s="48" t="s">
        <v>1</v>
      </c>
      <c r="AL2" s="48" t="s">
        <v>2</v>
      </c>
      <c r="AM2" s="49" t="s">
        <v>223</v>
      </c>
      <c r="AN2" s="49" t="s">
        <v>14</v>
      </c>
      <c r="AO2" s="48" t="s">
        <v>221</v>
      </c>
      <c r="AP2" s="48" t="s">
        <v>3</v>
      </c>
      <c r="AQ2" s="48" t="s">
        <v>222</v>
      </c>
      <c r="AR2" s="49" t="s">
        <v>223</v>
      </c>
      <c r="AS2" s="49" t="s">
        <v>14</v>
      </c>
      <c r="AT2" s="47" t="s">
        <v>216</v>
      </c>
      <c r="AU2" s="48" t="s">
        <v>224</v>
      </c>
      <c r="AV2" s="48" t="s">
        <v>217</v>
      </c>
      <c r="AW2" s="49" t="s">
        <v>223</v>
      </c>
      <c r="AX2" s="49" t="s">
        <v>14</v>
      </c>
      <c r="AY2" s="48" t="s">
        <v>0</v>
      </c>
      <c r="AZ2" s="48" t="s">
        <v>218</v>
      </c>
      <c r="BA2" s="48" t="s">
        <v>219</v>
      </c>
      <c r="BB2" s="49" t="s">
        <v>223</v>
      </c>
      <c r="BC2" s="49" t="s">
        <v>14</v>
      </c>
      <c r="BD2" s="48" t="s">
        <v>220</v>
      </c>
      <c r="BE2" s="48" t="s">
        <v>1</v>
      </c>
      <c r="BF2" s="48" t="s">
        <v>2</v>
      </c>
      <c r="BG2" s="49" t="s">
        <v>223</v>
      </c>
      <c r="BH2" s="49" t="s">
        <v>14</v>
      </c>
      <c r="BI2" s="48" t="s">
        <v>221</v>
      </c>
      <c r="BJ2" s="48" t="s">
        <v>3</v>
      </c>
      <c r="BK2" s="48" t="s">
        <v>222</v>
      </c>
      <c r="BL2" s="49" t="s">
        <v>223</v>
      </c>
      <c r="BM2" s="49" t="s">
        <v>14</v>
      </c>
      <c r="BN2" s="47" t="s">
        <v>216</v>
      </c>
      <c r="BO2" s="48" t="s">
        <v>224</v>
      </c>
      <c r="BP2" s="48" t="s">
        <v>217</v>
      </c>
      <c r="BQ2" s="49" t="s">
        <v>223</v>
      </c>
      <c r="BR2" s="49" t="s">
        <v>14</v>
      </c>
      <c r="BS2" s="48" t="s">
        <v>0</v>
      </c>
      <c r="BT2" s="48" t="s">
        <v>218</v>
      </c>
      <c r="BU2" s="48" t="s">
        <v>219</v>
      </c>
      <c r="BV2" s="49" t="s">
        <v>223</v>
      </c>
      <c r="BW2" s="49" t="s">
        <v>14</v>
      </c>
      <c r="BX2" s="48" t="s">
        <v>220</v>
      </c>
      <c r="BY2" s="48" t="s">
        <v>1</v>
      </c>
      <c r="BZ2" s="48" t="s">
        <v>2</v>
      </c>
      <c r="CA2" s="49" t="s">
        <v>223</v>
      </c>
      <c r="CB2" s="49" t="s">
        <v>14</v>
      </c>
      <c r="CC2" s="48" t="s">
        <v>221</v>
      </c>
      <c r="CD2" s="48" t="s">
        <v>3</v>
      </c>
      <c r="CE2" s="48" t="s">
        <v>222</v>
      </c>
      <c r="CF2" s="49" t="s">
        <v>223</v>
      </c>
      <c r="CG2" s="49" t="s">
        <v>14</v>
      </c>
    </row>
    <row r="3" spans="1:175" s="34" customFormat="1" ht="10.5" customHeight="1" x14ac:dyDescent="0.15">
      <c r="A3" s="50" t="s">
        <v>174</v>
      </c>
      <c r="B3" s="287"/>
      <c r="C3" s="288"/>
      <c r="D3" s="287"/>
      <c r="E3" s="289"/>
      <c r="F3" s="227"/>
      <c r="G3" s="206"/>
      <c r="H3" s="206"/>
      <c r="I3" s="206"/>
      <c r="J3" s="248"/>
      <c r="K3" s="206"/>
      <c r="L3" s="206"/>
      <c r="M3" s="206"/>
      <c r="N3" s="206"/>
      <c r="O3" s="316"/>
      <c r="P3" s="206"/>
      <c r="Q3" s="206"/>
      <c r="R3" s="206"/>
      <c r="S3" s="206"/>
      <c r="T3" s="246"/>
      <c r="U3" s="247"/>
      <c r="V3" s="248"/>
      <c r="W3" s="249"/>
      <c r="X3" s="209"/>
      <c r="Y3" s="496"/>
      <c r="Z3" s="206"/>
      <c r="AA3" s="206"/>
      <c r="AB3" s="206"/>
      <c r="AC3" s="248"/>
      <c r="AD3" s="207"/>
      <c r="AE3" s="206"/>
      <c r="AF3" s="206"/>
      <c r="AG3" s="206"/>
      <c r="AH3" s="248"/>
      <c r="AI3" s="207"/>
      <c r="AJ3" s="206"/>
      <c r="AK3" s="206"/>
      <c r="AL3" s="206"/>
      <c r="AM3" s="248"/>
      <c r="AN3" s="207"/>
      <c r="AO3" s="206"/>
      <c r="AP3" s="206"/>
      <c r="AQ3" s="206"/>
      <c r="AR3" s="248"/>
      <c r="AS3" s="207"/>
      <c r="AT3" s="206"/>
      <c r="AU3" s="206"/>
      <c r="AV3" s="206"/>
      <c r="AW3" s="248"/>
      <c r="AX3" s="207"/>
      <c r="AY3" s="206"/>
      <c r="AZ3" s="206"/>
      <c r="BA3" s="206"/>
      <c r="BB3" s="248"/>
      <c r="BC3" s="207"/>
      <c r="BD3" s="206"/>
      <c r="BE3" s="206"/>
      <c r="BF3" s="206"/>
      <c r="BG3" s="248"/>
      <c r="BH3" s="207"/>
      <c r="BI3" s="206"/>
      <c r="BJ3" s="206"/>
      <c r="BK3" s="206"/>
      <c r="BL3" s="248"/>
      <c r="BM3" s="207"/>
      <c r="BN3" s="206"/>
      <c r="BO3" s="206"/>
      <c r="BP3" s="206"/>
      <c r="BQ3" s="248"/>
      <c r="BR3" s="207"/>
      <c r="BS3" s="206"/>
      <c r="BT3" s="206"/>
      <c r="BU3" s="206"/>
      <c r="BV3" s="248"/>
      <c r="BW3" s="207"/>
      <c r="BX3" s="206"/>
      <c r="BY3" s="206"/>
      <c r="BZ3" s="206"/>
      <c r="CA3" s="248"/>
      <c r="CB3" s="207"/>
      <c r="CC3" s="206"/>
      <c r="CD3" s="206"/>
      <c r="CE3" s="206"/>
      <c r="CF3" s="248"/>
      <c r="CG3" s="208"/>
    </row>
    <row r="4" spans="1:175" s="9" customFormat="1" ht="9.75" customHeight="1" x14ac:dyDescent="0.15">
      <c r="A4" s="51" t="s">
        <v>175</v>
      </c>
      <c r="B4" s="290">
        <f>B45</f>
        <v>0.2</v>
      </c>
      <c r="C4" s="291">
        <f>C45</f>
        <v>500000</v>
      </c>
      <c r="D4" s="643" t="s">
        <v>210</v>
      </c>
      <c r="E4" s="644"/>
      <c r="F4" s="228">
        <f>SUM(1000/G44)</f>
        <v>166.66666666666666</v>
      </c>
      <c r="G4" s="98">
        <f>SUM((F45+F46)/G44)</f>
        <v>166.66666666666666</v>
      </c>
      <c r="H4" s="98">
        <f>SUM((G45+G46)/H44)</f>
        <v>0</v>
      </c>
      <c r="I4" s="98">
        <f>SUM((H45+H46)/I44)</f>
        <v>0</v>
      </c>
      <c r="J4" s="251">
        <f>SUM(F4+G4+H4+I4)*3</f>
        <v>1000</v>
      </c>
      <c r="K4" s="35">
        <f>SUM((I45+I46)/K44)</f>
        <v>53.132934386144029</v>
      </c>
      <c r="L4" s="35">
        <f>SUM((K45+K46)/L44)</f>
        <v>179.49418441734522</v>
      </c>
      <c r="M4" s="35">
        <f>SUM((L45+L46)/M44)</f>
        <v>291.53156697549514</v>
      </c>
      <c r="N4" s="35">
        <f>SUM((M45+M46)/N44)</f>
        <v>426.92080033494159</v>
      </c>
      <c r="O4" s="251">
        <f>SUM(K4+L4+M4+N4)*3</f>
        <v>2853.2384583417779</v>
      </c>
      <c r="P4" s="35">
        <f>SUM((N45+N46)/P44)</f>
        <v>579.4735640897228</v>
      </c>
      <c r="Q4" s="35">
        <f>SUM((P45+P46)/Q44)</f>
        <v>750.84877766862019</v>
      </c>
      <c r="R4" s="35">
        <f>SUM((Q45+Q46)/R44)</f>
        <v>943.01919990684394</v>
      </c>
      <c r="S4" s="35">
        <f>SUM((R45+R46)/S44)</f>
        <v>1167.537136314505</v>
      </c>
      <c r="T4" s="315">
        <f>SUM(P4+Q4+R4+S4)*3</f>
        <v>10322.636033939076</v>
      </c>
      <c r="U4" s="250">
        <f>SUM(U45/U44)</f>
        <v>5301.6066168008238</v>
      </c>
      <c r="V4" s="251">
        <f>SUM(V45/V44)</f>
        <v>49399.812278224417</v>
      </c>
      <c r="W4" s="252">
        <f>SUM(W45/W44)</f>
        <v>83333.333333333328</v>
      </c>
      <c r="X4" s="173"/>
      <c r="Y4" s="490">
        <v>0</v>
      </c>
      <c r="Z4" s="35">
        <f>F4</f>
        <v>166.66666666666666</v>
      </c>
      <c r="AA4" s="35">
        <f>F4</f>
        <v>166.66666666666666</v>
      </c>
      <c r="AB4" s="35">
        <f>F4</f>
        <v>166.66666666666666</v>
      </c>
      <c r="AC4" s="251">
        <f>SUM(Z4:AB4)</f>
        <v>500</v>
      </c>
      <c r="AD4" s="43"/>
      <c r="AE4" s="35">
        <f>G4</f>
        <v>166.66666666666666</v>
      </c>
      <c r="AF4" s="35">
        <f>G4</f>
        <v>166.66666666666666</v>
      </c>
      <c r="AG4" s="35">
        <f>G4</f>
        <v>166.66666666666666</v>
      </c>
      <c r="AH4" s="251">
        <f>SUM(AE4:AG4)</f>
        <v>500</v>
      </c>
      <c r="AI4" s="43"/>
      <c r="AJ4" s="35">
        <f>H4</f>
        <v>0</v>
      </c>
      <c r="AK4" s="35">
        <f>H4</f>
        <v>0</v>
      </c>
      <c r="AL4" s="35">
        <f>H4</f>
        <v>0</v>
      </c>
      <c r="AM4" s="251">
        <f>SUM(AJ4:AL4)</f>
        <v>0</v>
      </c>
      <c r="AN4" s="43"/>
      <c r="AO4" s="35">
        <f>I4</f>
        <v>0</v>
      </c>
      <c r="AP4" s="35">
        <f>I4</f>
        <v>0</v>
      </c>
      <c r="AQ4" s="35">
        <f>I4</f>
        <v>0</v>
      </c>
      <c r="AR4" s="251">
        <f>SUM(AO4:AQ4)</f>
        <v>0</v>
      </c>
      <c r="AS4" s="43"/>
      <c r="AT4" s="35">
        <f>K4</f>
        <v>53.132934386144029</v>
      </c>
      <c r="AU4" s="35">
        <f>K4</f>
        <v>53.132934386144029</v>
      </c>
      <c r="AV4" s="35">
        <f>K4</f>
        <v>53.132934386144029</v>
      </c>
      <c r="AW4" s="251">
        <f>SUM(AT4:AV4)</f>
        <v>159.39880315843209</v>
      </c>
      <c r="AX4" s="43"/>
      <c r="AY4" s="35">
        <f>L4</f>
        <v>179.49418441734522</v>
      </c>
      <c r="AZ4" s="35">
        <f>L4</f>
        <v>179.49418441734522</v>
      </c>
      <c r="BA4" s="35">
        <f>L4</f>
        <v>179.49418441734522</v>
      </c>
      <c r="BB4" s="251">
        <f>SUM(AY4:BA4)</f>
        <v>538.4825532520357</v>
      </c>
      <c r="BC4" s="43"/>
      <c r="BD4" s="35">
        <f>M4</f>
        <v>291.53156697549514</v>
      </c>
      <c r="BE4" s="35">
        <f>M4</f>
        <v>291.53156697549514</v>
      </c>
      <c r="BF4" s="35">
        <f>M4</f>
        <v>291.53156697549514</v>
      </c>
      <c r="BG4" s="251">
        <f>SUM(BD4:BF4)</f>
        <v>874.59470092648542</v>
      </c>
      <c r="BH4" s="43"/>
      <c r="BI4" s="35">
        <f>N4</f>
        <v>426.92080033494159</v>
      </c>
      <c r="BJ4" s="35">
        <f>N4</f>
        <v>426.92080033494159</v>
      </c>
      <c r="BK4" s="35">
        <f>N4</f>
        <v>426.92080033494159</v>
      </c>
      <c r="BL4" s="251">
        <f>SUM(BI4:BK4)</f>
        <v>1280.7624010048248</v>
      </c>
      <c r="BM4" s="43"/>
      <c r="BN4" s="35">
        <f>P4</f>
        <v>579.4735640897228</v>
      </c>
      <c r="BO4" s="35">
        <f>P4</f>
        <v>579.4735640897228</v>
      </c>
      <c r="BP4" s="35">
        <f>P4</f>
        <v>579.4735640897228</v>
      </c>
      <c r="BQ4" s="251">
        <f>SUM(BN4:BP4)</f>
        <v>1738.4206922691683</v>
      </c>
      <c r="BR4" s="43"/>
      <c r="BS4" s="35">
        <f>Q4</f>
        <v>750.84877766862019</v>
      </c>
      <c r="BT4" s="35">
        <f>Q4</f>
        <v>750.84877766862019</v>
      </c>
      <c r="BU4" s="35">
        <f>Q4</f>
        <v>750.84877766862019</v>
      </c>
      <c r="BV4" s="251">
        <f>SUM(BS4:BU4)</f>
        <v>2252.5463330058606</v>
      </c>
      <c r="BW4" s="43"/>
      <c r="BX4" s="35">
        <f>R4</f>
        <v>943.01919990684394</v>
      </c>
      <c r="BY4" s="35">
        <f>R4</f>
        <v>943.01919990684394</v>
      </c>
      <c r="BZ4" s="35">
        <f>R4</f>
        <v>943.01919990684394</v>
      </c>
      <c r="CA4" s="251">
        <f>SUM(BX4:BZ4)</f>
        <v>2829.0575997205319</v>
      </c>
      <c r="CB4" s="43"/>
      <c r="CC4" s="35">
        <f>S4</f>
        <v>1167.537136314505</v>
      </c>
      <c r="CD4" s="35">
        <f>S4</f>
        <v>1167.537136314505</v>
      </c>
      <c r="CE4" s="35">
        <f>S4</f>
        <v>1167.537136314505</v>
      </c>
      <c r="CF4" s="251">
        <f>SUM(CC4:CE4)</f>
        <v>3502.611408943515</v>
      </c>
      <c r="CG4" s="109"/>
    </row>
    <row r="5" spans="1:175" s="9" customFormat="1" ht="9.75" customHeight="1" x14ac:dyDescent="0.15">
      <c r="A5" s="51" t="s">
        <v>176</v>
      </c>
      <c r="B5" s="364">
        <v>100</v>
      </c>
      <c r="C5" s="269">
        <v>0.05</v>
      </c>
      <c r="D5" s="124"/>
      <c r="E5" s="117"/>
      <c r="F5" s="125">
        <v>1500</v>
      </c>
      <c r="G5" s="127">
        <v>2000</v>
      </c>
      <c r="H5" s="35">
        <f>SUM((IF(ISBLANK(D5),B5,D5))+(G5)*(IF(ISBLANK(E5),(1+C5),(1+E5))))</f>
        <v>2200</v>
      </c>
      <c r="I5" s="35">
        <f>SUM((IF(ISBLANK(D5),B5,D5))+(H5)*(IF(ISBLANK(E5),(1+C5),(1+E5))))</f>
        <v>2410</v>
      </c>
      <c r="J5" s="251">
        <f>SUM(F5+G5+H5+I5)*3</f>
        <v>24330</v>
      </c>
      <c r="K5" s="35">
        <f>SUM((IF(ISBLANK(D5),B5,D5))+(I5)*(IF(ISBLANK(E5),(1+C5),(1+E5))))</f>
        <v>2630.5</v>
      </c>
      <c r="L5" s="35">
        <f>SUM((IF(ISBLANK(D5),B5,D5))+(K5)*(IF(ISBLANK(E5),(1+C5),(1+E5))))</f>
        <v>2862.0250000000001</v>
      </c>
      <c r="M5" s="35">
        <f>SUM((IF(ISBLANK(D5),B5,D5))+(L5)*(IF(ISBLANK(E5),(1+C5),(1+E5))))</f>
        <v>3105.1262500000003</v>
      </c>
      <c r="N5" s="35">
        <f>SUM((IF(ISBLANK(D5),B5,D5))+(M5)*(IF(ISBLANK(E5),(1+C5),(1+E5))))</f>
        <v>3360.3825625000004</v>
      </c>
      <c r="O5" s="251">
        <f>SUM(K5+L5+M5+N5)*3</f>
        <v>35874.101437500001</v>
      </c>
      <c r="P5" s="35">
        <f>SUM((IF(ISBLANK(D5),B5,D5))+(N5)*(IF(ISBLANK(E5),(1+C5),(1+E5))))</f>
        <v>3628.4016906250004</v>
      </c>
      <c r="Q5" s="35">
        <f>SUM((IF(ISBLANK(D5),B5,D5))+(P5)*(IF(ISBLANK(E5),(1+C5),(1+E5))))</f>
        <v>3909.8217751562506</v>
      </c>
      <c r="R5" s="35">
        <f>SUM((IF(ISBLANK(D5),B5,D5))+(Q5)*(IF(ISBLANK(E5),(1+C5),(1+E5))))</f>
        <v>4205.3128639140632</v>
      </c>
      <c r="S5" s="35">
        <f>SUM((IF(ISBLANK(D5),B5,D5))+(R5)*(IF(ISBLANK(E5),(1+C5),(1+E5))))</f>
        <v>4515.5785071097662</v>
      </c>
      <c r="T5" s="315">
        <f>SUM(P5+Q5+R5+S5)*3</f>
        <v>48777.344510415249</v>
      </c>
      <c r="U5" s="250">
        <f>SUM((IF(ISBLANK(D5),B5,D5))+(S5)*(IF(ISBLANK(E5),(1+C5),(1+E5))))*12</f>
        <v>58096.289189583054</v>
      </c>
      <c r="V5" s="251">
        <f>SUM((IF(ISBLANK(D5),B5,D5))+(U5)*(IF(ISBLANK(E5),(1+C5),(1+E5))))</f>
        <v>61101.103649062206</v>
      </c>
      <c r="W5" s="252">
        <f>SUM((IF(ISBLANK(D5),B5,D5))+(V5)*(IF(ISBLANK(E5),(1+C5),(1+E5))))</f>
        <v>64256.15883151532</v>
      </c>
      <c r="X5" s="173"/>
      <c r="Y5" s="490">
        <v>2300</v>
      </c>
      <c r="Z5" s="35">
        <f t="shared" ref="Z5:Z7" si="0">F5</f>
        <v>1500</v>
      </c>
      <c r="AA5" s="35">
        <f t="shared" ref="AA5:AA7" si="1">F5</f>
        <v>1500</v>
      </c>
      <c r="AB5" s="35">
        <f t="shared" ref="AB5:AB7" si="2">F5</f>
        <v>1500</v>
      </c>
      <c r="AC5" s="251">
        <f>SUM(Z5:AB5)</f>
        <v>4500</v>
      </c>
      <c r="AD5" s="43"/>
      <c r="AE5" s="35">
        <f t="shared" ref="AE5:AE7" si="3">G5</f>
        <v>2000</v>
      </c>
      <c r="AF5" s="35">
        <f t="shared" ref="AF5:AF7" si="4">G5</f>
        <v>2000</v>
      </c>
      <c r="AG5" s="35">
        <f t="shared" ref="AG5:AG7" si="5">G5</f>
        <v>2000</v>
      </c>
      <c r="AH5" s="251">
        <f>SUM(AE5:AG5)</f>
        <v>6000</v>
      </c>
      <c r="AI5" s="43"/>
      <c r="AJ5" s="35">
        <f t="shared" ref="AJ5:AJ7" si="6">H5</f>
        <v>2200</v>
      </c>
      <c r="AK5" s="35">
        <f t="shared" ref="AK5:AK7" si="7">H5</f>
        <v>2200</v>
      </c>
      <c r="AL5" s="35">
        <f t="shared" ref="AL5:AL7" si="8">H5</f>
        <v>2200</v>
      </c>
      <c r="AM5" s="251">
        <f>SUM(AJ5:AL5)</f>
        <v>6600</v>
      </c>
      <c r="AN5" s="43"/>
      <c r="AO5" s="35">
        <f>I5</f>
        <v>2410</v>
      </c>
      <c r="AP5" s="35">
        <f>I5</f>
        <v>2410</v>
      </c>
      <c r="AQ5" s="35">
        <f>I5</f>
        <v>2410</v>
      </c>
      <c r="AR5" s="251">
        <f>SUM(AO5:AQ5)</f>
        <v>7230</v>
      </c>
      <c r="AS5" s="43"/>
      <c r="AT5" s="35">
        <f>K5</f>
        <v>2630.5</v>
      </c>
      <c r="AU5" s="35">
        <f>K5</f>
        <v>2630.5</v>
      </c>
      <c r="AV5" s="35">
        <f>K5</f>
        <v>2630.5</v>
      </c>
      <c r="AW5" s="251">
        <f>SUM(AT5:AV5)</f>
        <v>7891.5</v>
      </c>
      <c r="AX5" s="43"/>
      <c r="AY5" s="35">
        <f>L5</f>
        <v>2862.0250000000001</v>
      </c>
      <c r="AZ5" s="35">
        <f>L5</f>
        <v>2862.0250000000001</v>
      </c>
      <c r="BA5" s="35">
        <f>L5</f>
        <v>2862.0250000000001</v>
      </c>
      <c r="BB5" s="251">
        <f>SUM(AY5:BA5)</f>
        <v>8586.0750000000007</v>
      </c>
      <c r="BC5" s="43"/>
      <c r="BD5" s="35">
        <f>M5</f>
        <v>3105.1262500000003</v>
      </c>
      <c r="BE5" s="35">
        <f>M5</f>
        <v>3105.1262500000003</v>
      </c>
      <c r="BF5" s="35">
        <f>M5</f>
        <v>3105.1262500000003</v>
      </c>
      <c r="BG5" s="251">
        <f>SUM(BD5:BF5)</f>
        <v>9315.3787499999999</v>
      </c>
      <c r="BH5" s="43"/>
      <c r="BI5" s="35">
        <f>N5</f>
        <v>3360.3825625000004</v>
      </c>
      <c r="BJ5" s="35">
        <f>N5</f>
        <v>3360.3825625000004</v>
      </c>
      <c r="BK5" s="35">
        <f>N5</f>
        <v>3360.3825625000004</v>
      </c>
      <c r="BL5" s="251">
        <f>SUM(BI5:BK5)</f>
        <v>10081.147687500001</v>
      </c>
      <c r="BM5" s="43"/>
      <c r="BN5" s="35">
        <f>P5</f>
        <v>3628.4016906250004</v>
      </c>
      <c r="BO5" s="35">
        <f>P5</f>
        <v>3628.4016906250004</v>
      </c>
      <c r="BP5" s="35">
        <f>P5</f>
        <v>3628.4016906250004</v>
      </c>
      <c r="BQ5" s="251">
        <f>SUM(BN5:BP5)</f>
        <v>10885.205071875002</v>
      </c>
      <c r="BR5" s="43"/>
      <c r="BS5" s="35">
        <f>Q5</f>
        <v>3909.8217751562506</v>
      </c>
      <c r="BT5" s="35">
        <f>Q5</f>
        <v>3909.8217751562506</v>
      </c>
      <c r="BU5" s="35">
        <f>Q5</f>
        <v>3909.8217751562506</v>
      </c>
      <c r="BV5" s="251">
        <f>SUM(BS5:BU5)</f>
        <v>11729.465325468751</v>
      </c>
      <c r="BW5" s="43"/>
      <c r="BX5" s="35">
        <f>R5</f>
        <v>4205.3128639140632</v>
      </c>
      <c r="BY5" s="35">
        <f>R5</f>
        <v>4205.3128639140632</v>
      </c>
      <c r="BZ5" s="35">
        <f>R5</f>
        <v>4205.3128639140632</v>
      </c>
      <c r="CA5" s="251">
        <f>SUM(BX5:BZ5)</f>
        <v>12615.93859174219</v>
      </c>
      <c r="CB5" s="43"/>
      <c r="CC5" s="35">
        <f>S5</f>
        <v>4515.5785071097662</v>
      </c>
      <c r="CD5" s="35">
        <f>S5</f>
        <v>4515.5785071097662</v>
      </c>
      <c r="CE5" s="35">
        <f>S5</f>
        <v>4515.5785071097662</v>
      </c>
      <c r="CF5" s="251">
        <f>SUM(CC5:CE5)</f>
        <v>13546.735521329298</v>
      </c>
      <c r="CG5" s="109"/>
    </row>
    <row r="6" spans="1:175" s="9" customFormat="1" ht="9.75" customHeight="1" x14ac:dyDescent="0.15">
      <c r="A6" s="484" t="s">
        <v>177</v>
      </c>
      <c r="B6" s="250">
        <v>100</v>
      </c>
      <c r="C6" s="293">
        <v>0.02</v>
      </c>
      <c r="D6" s="125"/>
      <c r="E6" s="117"/>
      <c r="F6" s="125">
        <v>0</v>
      </c>
      <c r="G6" s="127">
        <v>100</v>
      </c>
      <c r="H6" s="35">
        <f>SUM(IF(ISBLANK(D6),B6,D6)+(G18*(IF(ISBLANK(E6),C6,E6))))</f>
        <v>198.49555751177351</v>
      </c>
      <c r="I6" s="35">
        <f>SUM(IF(ISBLANK(D6),B6,D6)+(H18*(IF(ISBLANK(E6),C6,E6))))</f>
        <v>285.92413866843003</v>
      </c>
      <c r="J6" s="251">
        <f>SUM(F6+G6+H6+I6)*3</f>
        <v>1753.2590885406107</v>
      </c>
      <c r="K6" s="35">
        <f>SUM(IF(ISBLANK(D6),B6,D6)+(I18*(IF(ISBLANK(E6),C6,E6))))</f>
        <v>347.75530191700818</v>
      </c>
      <c r="L6" s="35">
        <f>SUM(IF(ISBLANK(D6),B6,D6)+(K18*(IF(ISBLANK(E6),C6,E6))))</f>
        <v>417.56834462080229</v>
      </c>
      <c r="M6" s="35">
        <f>SUM(IF(ISBLANK(D6),B6,D6)+(L18*(IF(ISBLANK(E6),C6,E6))))</f>
        <v>479.37383795013187</v>
      </c>
      <c r="N6" s="35">
        <f>SUM(IF(ISBLANK(D6),B6,D6)+(M18*(IF(ISBLANK(E6),C6,E6))))</f>
        <v>535.8433750538976</v>
      </c>
      <c r="O6" s="251">
        <f>SUM(K6+L6+M6+N6)*3</f>
        <v>5341.62257862552</v>
      </c>
      <c r="P6" s="35">
        <f>SUM(IF(ISBLANK(D6),B6,D6)+(N18*(IF(ISBLANK(E6),C6,E6))))</f>
        <v>590.63694429897168</v>
      </c>
      <c r="Q6" s="35">
        <f>SUM(IF(ISBLANK(D6),B6,D6)+(P18*(IF(ISBLANK(E6),C6,E6))))</f>
        <v>645.0819854708925</v>
      </c>
      <c r="R6" s="35">
        <f>SUM(IF(ISBLANK(D6),B6,D6)+(Q18*(IF(ISBLANK(E6),C6,E6))))</f>
        <v>707.3488709919593</v>
      </c>
      <c r="S6" s="35">
        <f>SUM(IF(ISBLANK(D6),B6,D6)+(R18*(IF(ISBLANK(E6),C6,E6))))</f>
        <v>780.38666620894594</v>
      </c>
      <c r="T6" s="315">
        <f>SUM(P6+Q6+R6+S6)*3</f>
        <v>8170.363400912308</v>
      </c>
      <c r="U6" s="250">
        <f>SUM(IF(ISBLANK(D6),B6,D6)+(S18*(IF(ISBLANK(E6),C6,E6))))*12</f>
        <v>10416.461449628183</v>
      </c>
      <c r="V6" s="251">
        <f>SUM(IF(ISBLANK(D6),B6,D6)+(U18*(IF(ISBLANK(E6),C6,E6))))*12</f>
        <v>27480.409648497145</v>
      </c>
      <c r="W6" s="252">
        <f>SUM(IF(ISBLANK(D6),B6,D6)+(V18*(IF(ISBLANK(E6),C6,E6))))*12</f>
        <v>52299.913125297186</v>
      </c>
      <c r="X6" s="173"/>
      <c r="Y6" s="490">
        <v>0</v>
      </c>
      <c r="Z6" s="35">
        <f t="shared" si="0"/>
        <v>0</v>
      </c>
      <c r="AA6" s="35">
        <f t="shared" si="1"/>
        <v>0</v>
      </c>
      <c r="AB6" s="35">
        <f t="shared" si="2"/>
        <v>0</v>
      </c>
      <c r="AC6" s="251">
        <f t="shared" ref="AC6:AC17" si="9">SUM(Z6:AB6)</f>
        <v>0</v>
      </c>
      <c r="AD6" s="43"/>
      <c r="AE6" s="35">
        <f t="shared" si="3"/>
        <v>100</v>
      </c>
      <c r="AF6" s="35">
        <f t="shared" si="4"/>
        <v>100</v>
      </c>
      <c r="AG6" s="35">
        <f t="shared" si="5"/>
        <v>100</v>
      </c>
      <c r="AH6" s="251">
        <f t="shared" ref="AH6:AH17" si="10">SUM(AE6:AG6)</f>
        <v>300</v>
      </c>
      <c r="AI6" s="43"/>
      <c r="AJ6" s="35">
        <f t="shared" si="6"/>
        <v>198.49555751177351</v>
      </c>
      <c r="AK6" s="35">
        <f t="shared" si="7"/>
        <v>198.49555751177351</v>
      </c>
      <c r="AL6" s="35">
        <f t="shared" si="8"/>
        <v>198.49555751177351</v>
      </c>
      <c r="AM6" s="251">
        <f t="shared" ref="AM6:AM17" si="11">SUM(AJ6:AL6)</f>
        <v>595.48667253532051</v>
      </c>
      <c r="AN6" s="43"/>
      <c r="AO6" s="35">
        <f t="shared" ref="AO6:AO7" si="12">I6</f>
        <v>285.92413866843003</v>
      </c>
      <c r="AP6" s="35">
        <f t="shared" ref="AP6:AP7" si="13">I6</f>
        <v>285.92413866843003</v>
      </c>
      <c r="AQ6" s="35">
        <f t="shared" ref="AQ6:AQ7" si="14">I6</f>
        <v>285.92413866843003</v>
      </c>
      <c r="AR6" s="251">
        <f t="shared" ref="AR6:AR17" si="15">SUM(AO6:AQ6)</f>
        <v>857.7724160052901</v>
      </c>
      <c r="AS6" s="43"/>
      <c r="AT6" s="35">
        <f t="shared" ref="AT6:AT7" si="16">K6</f>
        <v>347.75530191700818</v>
      </c>
      <c r="AU6" s="35">
        <f t="shared" ref="AU6:AU7" si="17">K6</f>
        <v>347.75530191700818</v>
      </c>
      <c r="AV6" s="35">
        <f t="shared" ref="AV6:AV7" si="18">K6</f>
        <v>347.75530191700818</v>
      </c>
      <c r="AW6" s="251">
        <f t="shared" ref="AW6:AW17" si="19">SUM(AT6:AV6)</f>
        <v>1043.2659057510245</v>
      </c>
      <c r="AX6" s="43"/>
      <c r="AY6" s="35">
        <f t="shared" ref="AY6:AY7" si="20">L6</f>
        <v>417.56834462080229</v>
      </c>
      <c r="AZ6" s="35">
        <f t="shared" ref="AZ6:AZ7" si="21">L6</f>
        <v>417.56834462080229</v>
      </c>
      <c r="BA6" s="35">
        <f t="shared" ref="BA6:BA7" si="22">L6</f>
        <v>417.56834462080229</v>
      </c>
      <c r="BB6" s="251">
        <f t="shared" ref="BB6:BB17" si="23">SUM(AY6:BA6)</f>
        <v>1252.7050338624069</v>
      </c>
      <c r="BC6" s="43"/>
      <c r="BD6" s="35">
        <f t="shared" ref="BD6:BD7" si="24">M6</f>
        <v>479.37383795013187</v>
      </c>
      <c r="BE6" s="35">
        <f t="shared" ref="BE6:BE7" si="25">M6</f>
        <v>479.37383795013187</v>
      </c>
      <c r="BF6" s="35">
        <f t="shared" ref="BF6:BF7" si="26">M6</f>
        <v>479.37383795013187</v>
      </c>
      <c r="BG6" s="251">
        <f t="shared" ref="BG6:BG17" si="27">SUM(BD6:BF6)</f>
        <v>1438.1215138503956</v>
      </c>
      <c r="BH6" s="43"/>
      <c r="BI6" s="35">
        <f t="shared" ref="BI6:BI7" si="28">N6</f>
        <v>535.8433750538976</v>
      </c>
      <c r="BJ6" s="35">
        <f t="shared" ref="BJ6" si="29">N6</f>
        <v>535.8433750538976</v>
      </c>
      <c r="BK6" s="35">
        <f t="shared" ref="BK6:BK7" si="30">N6</f>
        <v>535.8433750538976</v>
      </c>
      <c r="BL6" s="251">
        <f t="shared" ref="BL6:BL8" si="31">SUM(BI6:BK6)</f>
        <v>1607.5301251616929</v>
      </c>
      <c r="BM6" s="43"/>
      <c r="BN6" s="35">
        <f t="shared" ref="BN6:BN7" si="32">P6</f>
        <v>590.63694429897168</v>
      </c>
      <c r="BO6" s="35">
        <f t="shared" ref="BO6:BO7" si="33">P6</f>
        <v>590.63694429897168</v>
      </c>
      <c r="BP6" s="35">
        <f t="shared" ref="BP6:BP7" si="34">P6</f>
        <v>590.63694429897168</v>
      </c>
      <c r="BQ6" s="251">
        <f t="shared" ref="BQ6:BQ8" si="35">SUM(BN6:BP6)</f>
        <v>1771.9108328969151</v>
      </c>
      <c r="BR6" s="43"/>
      <c r="BS6" s="35">
        <f t="shared" ref="BS6:BS7" si="36">Q6</f>
        <v>645.0819854708925</v>
      </c>
      <c r="BT6" s="35">
        <f t="shared" ref="BT6:BT7" si="37">Q6</f>
        <v>645.0819854708925</v>
      </c>
      <c r="BU6" s="35">
        <f t="shared" ref="BU6:BU7" si="38">Q6</f>
        <v>645.0819854708925</v>
      </c>
      <c r="BV6" s="251">
        <f t="shared" ref="BV6:BV8" si="39">SUM(BS6:BU6)</f>
        <v>1935.2459564126775</v>
      </c>
      <c r="BW6" s="43"/>
      <c r="BX6" s="35">
        <f t="shared" ref="BX6:BX7" si="40">R6</f>
        <v>707.3488709919593</v>
      </c>
      <c r="BY6" s="35">
        <f t="shared" ref="BY6:BY7" si="41">R6</f>
        <v>707.3488709919593</v>
      </c>
      <c r="BZ6" s="35">
        <f t="shared" ref="BZ6" si="42">R6</f>
        <v>707.3488709919593</v>
      </c>
      <c r="CA6" s="251">
        <f t="shared" ref="CA6:CA7" si="43">SUM(BX6:BZ6)</f>
        <v>2122.0466129758779</v>
      </c>
      <c r="CB6" s="43"/>
      <c r="CC6" s="35">
        <f t="shared" ref="CC6:CC7" si="44">S6</f>
        <v>780.38666620894594</v>
      </c>
      <c r="CD6" s="35">
        <f t="shared" ref="CD6:CD7" si="45">S6</f>
        <v>780.38666620894594</v>
      </c>
      <c r="CE6" s="35">
        <f t="shared" ref="CE6:CE7" si="46">S6</f>
        <v>780.38666620894594</v>
      </c>
      <c r="CF6" s="251">
        <f t="shared" ref="CF6:CF8" si="47">SUM(CC6:CE6)</f>
        <v>2341.1599986268379</v>
      </c>
      <c r="CG6" s="109"/>
    </row>
    <row r="7" spans="1:175" s="9" customFormat="1" ht="9.75" customHeight="1" x14ac:dyDescent="0.15">
      <c r="A7" s="51" t="s">
        <v>178</v>
      </c>
      <c r="B7" s="250">
        <v>0</v>
      </c>
      <c r="C7" s="293">
        <v>0</v>
      </c>
      <c r="D7" s="125"/>
      <c r="E7" s="117"/>
      <c r="F7" s="125">
        <v>0</v>
      </c>
      <c r="G7" s="127">
        <v>0</v>
      </c>
      <c r="H7" s="127">
        <v>0</v>
      </c>
      <c r="I7" s="127">
        <v>0</v>
      </c>
      <c r="J7" s="251">
        <f>SUM((F7+G7+H7+I7)*3)</f>
        <v>0</v>
      </c>
      <c r="K7" s="35">
        <f>SUM(IF(ISBLANK(D7),B7,D7)+(I18*(IF(ISBLANK(E7),C7,E7))))</f>
        <v>0</v>
      </c>
      <c r="L7" s="35">
        <f>SUM(IF(ISBLANK(D7),B7,D7)+(K18*(IF(ISBLANK(E7),C7,E7))))</f>
        <v>0</v>
      </c>
      <c r="M7" s="35">
        <f>SUM(IF(ISBLANK(D7),B7,D7)+(L18*(IF(ISBLANK(E7),C7,E7))))</f>
        <v>0</v>
      </c>
      <c r="N7" s="35">
        <f>SUM(IF(ISBLANK(D7),B7,D7)+(M18*(IF(ISBLANK(E7),C7,E7))))</f>
        <v>0</v>
      </c>
      <c r="O7" s="251">
        <f>SUM(K7+L7+M7+N7)*3</f>
        <v>0</v>
      </c>
      <c r="P7" s="35">
        <f>SUM(IF(ISBLANK(D7),B7,D7)+(N18*(IF(ISBLANK(E7),C7,E7))))</f>
        <v>0</v>
      </c>
      <c r="Q7" s="35">
        <f>SUM(IF(ISBLANK(D7),B7,D7)+(P18*(IF(ISBLANK(E7),C7,E7))))</f>
        <v>0</v>
      </c>
      <c r="R7" s="35">
        <f>SUM(IF(ISBLANK(D7),B7,D7)+(Q18*(IF(ISBLANK(E7),C7,E7))))</f>
        <v>0</v>
      </c>
      <c r="S7" s="35">
        <f>SUM(IF(ISBLANK(D7),B7,D7)+(R18*(IF(ISBLANK(E7),C7,E7))))</f>
        <v>0</v>
      </c>
      <c r="T7" s="315">
        <f>SUM(P7+Q7+R7+S7)*3</f>
        <v>0</v>
      </c>
      <c r="U7" s="250">
        <f>SUM(IF(ISBLANK(D7),B7,D7)+(S18*(IF(ISBLANK(E7),C7,E7))))*12</f>
        <v>0</v>
      </c>
      <c r="V7" s="251">
        <f>SUM(IF(ISBLANK(D7),B7,D7)+(U18*(IF(ISBLANK(E7),C7,E7))))*12</f>
        <v>0</v>
      </c>
      <c r="W7" s="252">
        <f>SUM(IF(ISBLANK(D7),B7,D7)+(V18*(IF(ISBLANK(E7),C7,E7))))*12</f>
        <v>0</v>
      </c>
      <c r="X7" s="173"/>
      <c r="Y7" s="490">
        <v>0</v>
      </c>
      <c r="Z7" s="35">
        <f t="shared" si="0"/>
        <v>0</v>
      </c>
      <c r="AA7" s="35">
        <f t="shared" si="1"/>
        <v>0</v>
      </c>
      <c r="AB7" s="35">
        <f t="shared" si="2"/>
        <v>0</v>
      </c>
      <c r="AC7" s="251">
        <f t="shared" si="9"/>
        <v>0</v>
      </c>
      <c r="AD7" s="43"/>
      <c r="AE7" s="35">
        <f t="shared" si="3"/>
        <v>0</v>
      </c>
      <c r="AF7" s="35">
        <f t="shared" si="4"/>
        <v>0</v>
      </c>
      <c r="AG7" s="35">
        <f t="shared" si="5"/>
        <v>0</v>
      </c>
      <c r="AH7" s="251">
        <f t="shared" si="10"/>
        <v>0</v>
      </c>
      <c r="AI7" s="43"/>
      <c r="AJ7" s="35">
        <f t="shared" si="6"/>
        <v>0</v>
      </c>
      <c r="AK7" s="35">
        <f t="shared" si="7"/>
        <v>0</v>
      </c>
      <c r="AL7" s="35">
        <f t="shared" si="8"/>
        <v>0</v>
      </c>
      <c r="AM7" s="251">
        <f t="shared" si="11"/>
        <v>0</v>
      </c>
      <c r="AN7" s="43"/>
      <c r="AO7" s="35">
        <f t="shared" si="12"/>
        <v>0</v>
      </c>
      <c r="AP7" s="35">
        <f t="shared" si="13"/>
        <v>0</v>
      </c>
      <c r="AQ7" s="35">
        <f t="shared" si="14"/>
        <v>0</v>
      </c>
      <c r="AR7" s="251">
        <f t="shared" si="15"/>
        <v>0</v>
      </c>
      <c r="AS7" s="43"/>
      <c r="AT7" s="35">
        <f t="shared" si="16"/>
        <v>0</v>
      </c>
      <c r="AU7" s="35">
        <f t="shared" si="17"/>
        <v>0</v>
      </c>
      <c r="AV7" s="35">
        <f t="shared" si="18"/>
        <v>0</v>
      </c>
      <c r="AW7" s="251">
        <f t="shared" si="19"/>
        <v>0</v>
      </c>
      <c r="AX7" s="43"/>
      <c r="AY7" s="35">
        <f t="shared" si="20"/>
        <v>0</v>
      </c>
      <c r="AZ7" s="35">
        <f t="shared" si="21"/>
        <v>0</v>
      </c>
      <c r="BA7" s="35">
        <f t="shared" si="22"/>
        <v>0</v>
      </c>
      <c r="BB7" s="251">
        <f t="shared" si="23"/>
        <v>0</v>
      </c>
      <c r="BC7" s="43"/>
      <c r="BD7" s="35">
        <f t="shared" si="24"/>
        <v>0</v>
      </c>
      <c r="BE7" s="35">
        <f t="shared" si="25"/>
        <v>0</v>
      </c>
      <c r="BF7" s="35">
        <f t="shared" si="26"/>
        <v>0</v>
      </c>
      <c r="BG7" s="251">
        <f t="shared" si="27"/>
        <v>0</v>
      </c>
      <c r="BH7" s="43"/>
      <c r="BI7" s="35">
        <f t="shared" si="28"/>
        <v>0</v>
      </c>
      <c r="BJ7" s="35">
        <f>N7</f>
        <v>0</v>
      </c>
      <c r="BK7" s="35">
        <f t="shared" si="30"/>
        <v>0</v>
      </c>
      <c r="BL7" s="251">
        <f t="shared" si="31"/>
        <v>0</v>
      </c>
      <c r="BM7" s="43"/>
      <c r="BN7" s="35">
        <f t="shared" si="32"/>
        <v>0</v>
      </c>
      <c r="BO7" s="35">
        <f t="shared" si="33"/>
        <v>0</v>
      </c>
      <c r="BP7" s="35">
        <f t="shared" si="34"/>
        <v>0</v>
      </c>
      <c r="BQ7" s="251">
        <f t="shared" si="35"/>
        <v>0</v>
      </c>
      <c r="BR7" s="43"/>
      <c r="BS7" s="35">
        <f t="shared" si="36"/>
        <v>0</v>
      </c>
      <c r="BT7" s="35">
        <f t="shared" si="37"/>
        <v>0</v>
      </c>
      <c r="BU7" s="35">
        <f t="shared" si="38"/>
        <v>0</v>
      </c>
      <c r="BV7" s="251">
        <f t="shared" si="39"/>
        <v>0</v>
      </c>
      <c r="BW7" s="43"/>
      <c r="BX7" s="35">
        <f t="shared" si="40"/>
        <v>0</v>
      </c>
      <c r="BY7" s="35">
        <f t="shared" si="41"/>
        <v>0</v>
      </c>
      <c r="BZ7" s="35">
        <f>R7</f>
        <v>0</v>
      </c>
      <c r="CA7" s="251">
        <f t="shared" si="43"/>
        <v>0</v>
      </c>
      <c r="CB7" s="43"/>
      <c r="CC7" s="35">
        <f t="shared" si="44"/>
        <v>0</v>
      </c>
      <c r="CD7" s="35">
        <f t="shared" si="45"/>
        <v>0</v>
      </c>
      <c r="CE7" s="35">
        <f t="shared" si="46"/>
        <v>0</v>
      </c>
      <c r="CF7" s="251">
        <f t="shared" si="47"/>
        <v>0</v>
      </c>
      <c r="CG7" s="109"/>
    </row>
    <row r="8" spans="1:175" s="9" customFormat="1" ht="9.75" customHeight="1" thickBot="1" x14ac:dyDescent="0.2">
      <c r="A8" s="229" t="s">
        <v>179</v>
      </c>
      <c r="B8" s="368">
        <v>100000</v>
      </c>
      <c r="C8" s="369">
        <v>500000</v>
      </c>
      <c r="D8" s="230"/>
      <c r="E8" s="231"/>
      <c r="F8" s="232">
        <f>SUM(IF(((1-(Y18/(IF(ISBLANK(D8),B8,(IF(D8=0,9.99999999999999E+29,D8))))))*SUM(F4:F7))&lt;0,0,((1-(Y18/(IF(ISBLANK(D8),B8,(IF(D8=0,9.99999999999999E+29,D8))))))*SUM(F4:F7))))</f>
        <v>1641.6666666666667</v>
      </c>
      <c r="G8" s="233">
        <f>SUM(IF(((1-(F18/(IF(ISBLANK(D8),B8,(IF(D8=0,9.99999999999999E+29,D8))))))*SUM(G4:G7))&lt;0,0,((1-(F18/(IF(ISBLANK(D8),B8,(IF(D8=0,9.99999999999999E+29,D8))))))*SUM(G4:G7))))</f>
        <v>2219.6939375998036</v>
      </c>
      <c r="H8" s="233">
        <f>SUM(IF(((1-(G18/(IF(ISBLANK(D8),B8,(IF(D8=0,9.99999999999999E+29,D8))))))*SUM(H4:H7))&lt;0,0,((1-(G18/(IF(ISBLANK(D8),B8,(IF(D8=0,9.99999999999999E+29,D8))))))*SUM(H4:H7))))</f>
        <v>2280.3749789484564</v>
      </c>
      <c r="I8" s="233">
        <f>SUM(IF(((1-(H18/(IF(ISBLANK(D8),B8,(IF(D8=0,9.99999999999999E+29,D8))))))*SUM(I4:I7))&lt;0,0,((1-(H18/(IF(ISBLANK(D8),B8,(IF(D8=0,9.99999999999999E+29,D8))))))*SUM(I4:I7))))</f>
        <v>2445.3054519697512</v>
      </c>
      <c r="J8" s="255">
        <f t="shared" ref="J8" si="48">SUM(F8:I8)*3</f>
        <v>25761.123105554034</v>
      </c>
      <c r="K8" s="233">
        <f>SUM(IF(((1-(I18/(IF(ISBLANK(E8),C8,(IF(E8=0,9.99999999999999E+29,E8))))))*SUM(K4:K7))&lt;0,0,((1-(I18/(IF(ISBLANK(E8),C8,(IF(E8=0,9.99999999999999E+29,E8))))))*SUM(K4:K7))))</f>
        <v>2956.2839855318566</v>
      </c>
      <c r="L8" s="233">
        <f>SUM(IF(((1-(K18/(IF(ISBLANK(E8),C8,(IF(E8=0,9.99999999999999E+29,E8))))))*SUM(L4:L7))&lt;0,0,((1-(K18/(IF(ISBLANK(E8),C8,(IF(E8=0,9.99999999999999E+29,E8))))))*SUM(L4:L7))))</f>
        <v>3349.2378589886371</v>
      </c>
      <c r="M8" s="233">
        <f>SUM(IF(((1-(L18/(IF(ISBLANK(E8),C8,(IF(E8=0,9.99999999999999E+29,E8))))))*SUM(M4:M7))&lt;0,0,((1-(L18/(IF(ISBLANK(E8),C8,(IF(E8=0,9.99999999999999E+29,E8))))))*SUM(M4:M7))))</f>
        <v>3728.9851544310936</v>
      </c>
      <c r="N8" s="233">
        <f>SUM(IF(((1-(M18/(IF(ISBLANK(E8),C8,(IF(E8=0,9.99999999999999E+29,E8))))))*SUM(N4:N7))&lt;0,0,((1-(M18/(IF(ISBLANK(E8),C8,(IF(E8=0,9.99999999999999E+29,E8))))))*SUM(N4:N7))))</f>
        <v>4134.7252513793683</v>
      </c>
      <c r="O8" s="255">
        <f t="shared" ref="O8" si="49">SUM(K8:N8)*3</f>
        <v>42507.696750992865</v>
      </c>
      <c r="P8" s="233">
        <f>SUM(IF(((1-(N18/(IF(ISBLANK(E8),C8,(IF(E8=0,9.99999999999999E+29,E8))))))*SUM(P4:P7))&lt;0,0,((1-(N18/(IF(ISBLANK(E8),C8,(IF(E8=0,9.99999999999999E+29,E8))))))*SUM(P4:P7))))</f>
        <v>4563.0794627631531</v>
      </c>
      <c r="Q8" s="233">
        <f>SUM(IF(((1-(P18/(IF(ISBLANK(E8),C8,(IF(E8=0,9.99999999999999E+29,E8))))))*SUM(Q4:Q7))&lt;0,0,((1-(P18/(IF(ISBLANK(E8),C8,(IF(E8=0,9.99999999999999E+29,E8))))))*SUM(Q4:Q7))))</f>
        <v>5016.5455254966155</v>
      </c>
      <c r="R8" s="233">
        <f>SUM(IF(((1-(Q18/(IF(ISBLANK(E8),C8,(IF(E8=0,9.99999999999999E+29,E8))))))*SUM(R4:R7))&lt;0,0,((1-(Q18/(IF(ISBLANK(E8),C8,(IF(E8=0,9.99999999999999E+29,E8))))))*SUM(R4:R7))))</f>
        <v>5500.0368143480928</v>
      </c>
      <c r="S8" s="233">
        <f>SUM(IF(((1-(R18/(IF(ISBLANK(E8),C8,(IF(E8=0,9.99999999999999E+29,E8))))))*SUM(S4:S7))&lt;0,0,((1-(R18/(IF(ISBLANK(E8),C8,(IF(E8=0,9.99999999999999E+29,E8))))))*SUM(S4:S7))))</f>
        <v>6023.7342307847002</v>
      </c>
      <c r="T8" s="253">
        <f t="shared" ref="T8" si="50">SUM(P8:S8)*3</f>
        <v>63310.188100177678</v>
      </c>
      <c r="U8" s="254">
        <f>SUM(IF(((1-(T18/(IF(ISBLANK(E8),C8,(IF(E8=0,9.99999999999999E+29,E8))))))*SUM(U4:U7))&lt;0,0,((1-(T18/(IF(ISBLANK(E8),C8,(IF(E8=0,9.99999999999999E+29,E8))))))*SUM(U4:U7))))</f>
        <v>68145.130772019416</v>
      </c>
      <c r="V8" s="255">
        <f>SUM(IF(((1-(U18/(IF(ISBLANK(E8),C8,(IF(E8=0,9.99999999999999E+29,E8))))))*SUM(V4:V7))&lt;0,0,((1-(U18/(IF(ISBLANK(E8),C8,(IF(E8=0,9.99999999999999E+29,E8))))))*SUM(V4:V7))))</f>
        <v>107762.94424266498</v>
      </c>
      <c r="W8" s="256">
        <f>SUM(IF(((1-(V18/(IF(ISBLANK(E8),C8,(IF(E8=0,9.99999999999999E+29,E8))))))*SUM(W4:W7))&lt;0,0,((1-(V18/(IF(ISBLANK(E8),C8,(IF(E8=0,9.99999999999999E+29,E8))))))*SUM(W4:W7))))</f>
        <v>114769.97824853109</v>
      </c>
      <c r="X8" s="236"/>
      <c r="Y8" s="497">
        <f>SUM(Y4:Y7)</f>
        <v>2300</v>
      </c>
      <c r="Z8" s="233">
        <f>F8</f>
        <v>1641.6666666666667</v>
      </c>
      <c r="AA8" s="233">
        <f>F8</f>
        <v>1641.6666666666667</v>
      </c>
      <c r="AB8" s="233">
        <f>F8</f>
        <v>1641.6666666666667</v>
      </c>
      <c r="AC8" s="255">
        <f t="shared" si="9"/>
        <v>4925</v>
      </c>
      <c r="AD8" s="234"/>
      <c r="AE8" s="233">
        <f>G8</f>
        <v>2219.6939375998036</v>
      </c>
      <c r="AF8" s="233">
        <f>G8</f>
        <v>2219.6939375998036</v>
      </c>
      <c r="AG8" s="233">
        <f>G8</f>
        <v>2219.6939375998036</v>
      </c>
      <c r="AH8" s="255">
        <f t="shared" si="10"/>
        <v>6659.0818127994107</v>
      </c>
      <c r="AI8" s="234"/>
      <c r="AJ8" s="233">
        <f>H8</f>
        <v>2280.3749789484564</v>
      </c>
      <c r="AK8" s="233">
        <f>H8</f>
        <v>2280.3749789484564</v>
      </c>
      <c r="AL8" s="233">
        <f>H8</f>
        <v>2280.3749789484564</v>
      </c>
      <c r="AM8" s="255">
        <f t="shared" si="11"/>
        <v>6841.1249368453691</v>
      </c>
      <c r="AN8" s="234"/>
      <c r="AO8" s="233">
        <f>I8</f>
        <v>2445.3054519697512</v>
      </c>
      <c r="AP8" s="233">
        <f>I8</f>
        <v>2445.3054519697512</v>
      </c>
      <c r="AQ8" s="233">
        <f>I8</f>
        <v>2445.3054519697512</v>
      </c>
      <c r="AR8" s="255">
        <f t="shared" si="15"/>
        <v>7335.916355909254</v>
      </c>
      <c r="AS8" s="234"/>
      <c r="AT8" s="233">
        <f>K8</f>
        <v>2956.2839855318566</v>
      </c>
      <c r="AU8" s="233">
        <f>K8</f>
        <v>2956.2839855318566</v>
      </c>
      <c r="AV8" s="233">
        <f>K8</f>
        <v>2956.2839855318566</v>
      </c>
      <c r="AW8" s="255">
        <f t="shared" si="19"/>
        <v>8868.8519565955703</v>
      </c>
      <c r="AX8" s="234"/>
      <c r="AY8" s="233">
        <f>L8</f>
        <v>3349.2378589886371</v>
      </c>
      <c r="AZ8" s="233">
        <f>L8</f>
        <v>3349.2378589886371</v>
      </c>
      <c r="BA8" s="233">
        <f>L8</f>
        <v>3349.2378589886371</v>
      </c>
      <c r="BB8" s="255">
        <f t="shared" si="23"/>
        <v>10047.713576965911</v>
      </c>
      <c r="BC8" s="234"/>
      <c r="BD8" s="233">
        <f>M8</f>
        <v>3728.9851544310936</v>
      </c>
      <c r="BE8" s="233">
        <f>M8</f>
        <v>3728.9851544310936</v>
      </c>
      <c r="BF8" s="233">
        <f>M8</f>
        <v>3728.9851544310936</v>
      </c>
      <c r="BG8" s="255">
        <f t="shared" si="27"/>
        <v>11186.955463293281</v>
      </c>
      <c r="BH8" s="234"/>
      <c r="BI8" s="233">
        <f>N8</f>
        <v>4134.7252513793683</v>
      </c>
      <c r="BJ8" s="233">
        <f>N8</f>
        <v>4134.7252513793683</v>
      </c>
      <c r="BK8" s="233">
        <f>N8</f>
        <v>4134.7252513793683</v>
      </c>
      <c r="BL8" s="255">
        <f t="shared" si="31"/>
        <v>12404.175754138105</v>
      </c>
      <c r="BM8" s="234"/>
      <c r="BN8" s="233">
        <f>P8</f>
        <v>4563.0794627631531</v>
      </c>
      <c r="BO8" s="233">
        <f>P8</f>
        <v>4563.0794627631531</v>
      </c>
      <c r="BP8" s="233">
        <f>P8</f>
        <v>4563.0794627631531</v>
      </c>
      <c r="BQ8" s="255">
        <f t="shared" si="35"/>
        <v>13689.238388289459</v>
      </c>
      <c r="BR8" s="234"/>
      <c r="BS8" s="233">
        <f>Q8</f>
        <v>5016.5455254966155</v>
      </c>
      <c r="BT8" s="233">
        <f>Q8</f>
        <v>5016.5455254966155</v>
      </c>
      <c r="BU8" s="233">
        <f>Q8</f>
        <v>5016.5455254966155</v>
      </c>
      <c r="BV8" s="255">
        <f t="shared" si="39"/>
        <v>15049.636576489847</v>
      </c>
      <c r="BW8" s="234"/>
      <c r="BX8" s="233">
        <f>R8</f>
        <v>5500.0368143480928</v>
      </c>
      <c r="BY8" s="233">
        <f>R8</f>
        <v>5500.0368143480928</v>
      </c>
      <c r="BZ8" s="233">
        <f>R8</f>
        <v>5500.0368143480928</v>
      </c>
      <c r="CA8" s="255">
        <f>SUM(BX8:BZ8)</f>
        <v>16500.110443044279</v>
      </c>
      <c r="CB8" s="234"/>
      <c r="CC8" s="233">
        <f>S8</f>
        <v>6023.7342307847002</v>
      </c>
      <c r="CD8" s="233">
        <f>S8</f>
        <v>6023.7342307847002</v>
      </c>
      <c r="CE8" s="233">
        <f>S8</f>
        <v>6023.7342307847002</v>
      </c>
      <c r="CF8" s="255">
        <f t="shared" si="47"/>
        <v>18071.202692354102</v>
      </c>
      <c r="CG8" s="235"/>
      <c r="CH8" s="110"/>
    </row>
    <row r="9" spans="1:175" s="10" customFormat="1" ht="9.75" customHeight="1" x14ac:dyDescent="0.15">
      <c r="A9" s="210" t="s">
        <v>180</v>
      </c>
      <c r="B9" s="365">
        <v>0.03</v>
      </c>
      <c r="C9" s="296">
        <v>-1E-3</v>
      </c>
      <c r="D9" s="211"/>
      <c r="E9" s="440"/>
      <c r="F9" s="446">
        <v>0.01</v>
      </c>
      <c r="G9" s="212">
        <v>0.03</v>
      </c>
      <c r="H9" s="213">
        <f>SUM(IF((0*(IF(ISBLANK(E9),C9,E9)))+(IF(ISBLANK(D9),B9,D9)) &lt; 0, 0, (0*(IF(ISBLANK(E9),C9,E9)))+(IF(ISBLANK(D9),B9,D9))))</f>
        <v>0.03</v>
      </c>
      <c r="I9" s="213">
        <f>SUM(IF((1*(IF(ISBLANK(E9),C9,E9)))+(IF(ISBLANK(D9),B9,D9)) &lt; 0, 0, (1*(IF(ISBLANK(E9),C9,E9)))+(IF(ISBLANK(D9),B9,D9))))</f>
        <v>2.8999999999999998E-2</v>
      </c>
      <c r="J9" s="258">
        <f>SUM(((1+F9)*(1+F9)*(1+F9)*(1+G9)*(1+G9)*(1+G9)*(1+H9)*(1+H9)*(1+H9)*(1+I9)*(1+I9)*(1+I9))-1)</f>
        <v>0.34039745281817013</v>
      </c>
      <c r="K9" s="213">
        <f>SUM(IF((2*(IF(ISBLANK(E9),C9,E9)))+(IF(ISBLANK(D9),B9,D9)) &lt; 0, 0, (2*(IF(ISBLANK(E9),C9,E9)))+(IF(ISBLANK(D9),B9,D9))))</f>
        <v>2.7999999999999997E-2</v>
      </c>
      <c r="L9" s="213">
        <f>SUM(IF((3*(IF(ISBLANK(E9),C9,E9)))+(IF(ISBLANK(D9),B9,D9)) &lt; 0, 0, (3*(IF(ISBLANK(E9),C9,E9)))+(IF(ISBLANK(D9),B9,D9))))</f>
        <v>2.7E-2</v>
      </c>
      <c r="M9" s="213">
        <f>SUM(IF((4*(IF(ISBLANK(E9),C9,E9)))+(IF(ISBLANK(D9),B9,D9)) &lt; 0, 0, (4*(IF(ISBLANK(E9),C9,E9)))+(IF(ISBLANK(D9),B9,D9))))</f>
        <v>2.5999999999999999E-2</v>
      </c>
      <c r="N9" s="213">
        <f>SUM(IF((5*(IF(ISBLANK(E9),C9,E9)))+(IF(ISBLANK(D9),B9,D9)) &lt; 0, 0, (5*(IF(ISBLANK(E9),C9,E9)))+(IF(ISBLANK(D9),B9,D9))))</f>
        <v>2.4999999999999998E-2</v>
      </c>
      <c r="O9" s="258">
        <f>SUM(((1+K9)*(1+K9)*(1+K9)*(1+L9)*(1+L9)*(1+L9)*(1+M9)*(1+M9)*(1+M9)*(1+N9)*(1+N9)*(1+N9))-1)</f>
        <v>0.36868766494787564</v>
      </c>
      <c r="P9" s="213">
        <f>SUM(IF((6*(IF(ISBLANK(E9),C9,E9)))+(IF(ISBLANK(D9),B9,D9)) &lt; 0, 0, (6*(IF(ISBLANK(E9),C9,E9)))+(IF(ISBLANK(D9),B9,D9))))</f>
        <v>2.4E-2</v>
      </c>
      <c r="Q9" s="213">
        <f>SUM(IF((7*(IF(ISBLANK(E9),C9,E9)))+(IF(ISBLANK(D9),B9,D9)) &lt; 0, 0, (7*(IF(ISBLANK(E9),C9,E9)))+(IF(ISBLANK(D9),B9,D9))))</f>
        <v>2.3E-2</v>
      </c>
      <c r="R9" s="213">
        <f>SUM(IF((8*(IF(ISBLANK(E9),C9,E9)))+(IF(ISBLANK(D9),B9,D9)) &lt; 0, 0, (8*(IF(ISBLANK(E9),C9,E9)))+(IF(ISBLANK(D9),B9,D9))))</f>
        <v>2.1999999999999999E-2</v>
      </c>
      <c r="S9" s="213">
        <f>SUM(IF((9*(IF(ISBLANK(E9),C9,E9)))+(IF(ISBLANK(D9),B9,D9)) &lt; 0, 0, (9*(IF(ISBLANK(E9),C9,E9)))+(IF(ISBLANK(D9),B9,D9))))</f>
        <v>2.0999999999999998E-2</v>
      </c>
      <c r="T9" s="259">
        <f>SUM(((1+P9)*(1+P9)*(1+P9)*(1+Q9)*(1+Q9)*(1+Q9)*(1+R9)*(1+R9)*(1+R9)*(1+S9)*(1+S9)*(1+S9))-1)</f>
        <v>0.30604062088628847</v>
      </c>
      <c r="U9" s="459">
        <f>SUM(IF((12*(IF(ISBLANK(E9),C9,E9)))+(IF(ISBLANK(D9),B9,D9)) &lt; 0, 0, (12*(IF(ISBLANK(E9),C9,E9)))+(IF(ISBLANK(D9),B9,D9))))*12</f>
        <v>0.21599999999999997</v>
      </c>
      <c r="V9" s="258">
        <f>SUM(IF((15*(IF(ISBLANK(E9),C9,E9)))+(IF(ISBLANK(D9),B9,D9)) &lt; 0, 0, (15*(IF(ISBLANK(E9),C9,E9)))+(IF(ISBLANK(D9),B9,D9))))*12</f>
        <v>0.18</v>
      </c>
      <c r="W9" s="259">
        <f>SUM(IF((18*(IF(ISBLANK(E9),C9,E9)))+(IF(ISBLANK(D9),B9,D9)) &lt; 0, 0, (18*(IF(ISBLANK(E9),C9,E9)))+(IF(ISBLANK(D9),B9,D9))))*12</f>
        <v>0.14399999999999996</v>
      </c>
      <c r="X9" s="216"/>
      <c r="Y9" s="498">
        <v>0</v>
      </c>
      <c r="Z9" s="213">
        <f>F9</f>
        <v>0.01</v>
      </c>
      <c r="AA9" s="213">
        <f>F9</f>
        <v>0.01</v>
      </c>
      <c r="AB9" s="213">
        <f>F9</f>
        <v>0.01</v>
      </c>
      <c r="AC9" s="258">
        <f t="shared" si="9"/>
        <v>0.03</v>
      </c>
      <c r="AD9" s="214"/>
      <c r="AE9" s="213">
        <f>G9</f>
        <v>0.03</v>
      </c>
      <c r="AF9" s="213">
        <f>G9</f>
        <v>0.03</v>
      </c>
      <c r="AG9" s="213">
        <f>G9</f>
        <v>0.03</v>
      </c>
      <c r="AH9" s="258">
        <f t="shared" si="10"/>
        <v>0.09</v>
      </c>
      <c r="AI9" s="214"/>
      <c r="AJ9" s="213">
        <f>H9</f>
        <v>0.03</v>
      </c>
      <c r="AK9" s="213">
        <f>H9</f>
        <v>0.03</v>
      </c>
      <c r="AL9" s="213">
        <f>H9</f>
        <v>0.03</v>
      </c>
      <c r="AM9" s="258">
        <f t="shared" si="11"/>
        <v>0.09</v>
      </c>
      <c r="AN9" s="214"/>
      <c r="AO9" s="213">
        <f>I9</f>
        <v>2.8999999999999998E-2</v>
      </c>
      <c r="AP9" s="213">
        <f>I9</f>
        <v>2.8999999999999998E-2</v>
      </c>
      <c r="AQ9" s="213">
        <f>I9</f>
        <v>2.8999999999999998E-2</v>
      </c>
      <c r="AR9" s="258">
        <f t="shared" si="15"/>
        <v>8.6999999999999994E-2</v>
      </c>
      <c r="AS9" s="214"/>
      <c r="AT9" s="213">
        <f>K9</f>
        <v>2.7999999999999997E-2</v>
      </c>
      <c r="AU9" s="213">
        <f>K9</f>
        <v>2.7999999999999997E-2</v>
      </c>
      <c r="AV9" s="213">
        <f>K9</f>
        <v>2.7999999999999997E-2</v>
      </c>
      <c r="AW9" s="258">
        <f t="shared" si="19"/>
        <v>8.3999999999999991E-2</v>
      </c>
      <c r="AX9" s="214"/>
      <c r="AY9" s="213">
        <f>L9</f>
        <v>2.7E-2</v>
      </c>
      <c r="AZ9" s="213">
        <f>L9</f>
        <v>2.7E-2</v>
      </c>
      <c r="BA9" s="213">
        <f>L9</f>
        <v>2.7E-2</v>
      </c>
      <c r="BB9" s="258">
        <f t="shared" si="23"/>
        <v>8.1000000000000003E-2</v>
      </c>
      <c r="BC9" s="214"/>
      <c r="BD9" s="213">
        <f>M9</f>
        <v>2.5999999999999999E-2</v>
      </c>
      <c r="BE9" s="213">
        <f>M9</f>
        <v>2.5999999999999999E-2</v>
      </c>
      <c r="BF9" s="213">
        <f>M9</f>
        <v>2.5999999999999999E-2</v>
      </c>
      <c r="BG9" s="258">
        <f t="shared" si="27"/>
        <v>7.8E-2</v>
      </c>
      <c r="BH9" s="214"/>
      <c r="BI9" s="213">
        <f>N9</f>
        <v>2.4999999999999998E-2</v>
      </c>
      <c r="BJ9" s="213">
        <f>N9</f>
        <v>2.4999999999999998E-2</v>
      </c>
      <c r="BK9" s="213">
        <f>N9</f>
        <v>2.4999999999999998E-2</v>
      </c>
      <c r="BL9" s="258">
        <f t="shared" ref="BL9:BL15" si="51">SUM((BI9+BJ9+BK9))</f>
        <v>7.4999999999999997E-2</v>
      </c>
      <c r="BM9" s="214"/>
      <c r="BN9" s="213">
        <f>P9</f>
        <v>2.4E-2</v>
      </c>
      <c r="BO9" s="213">
        <f>P9</f>
        <v>2.4E-2</v>
      </c>
      <c r="BP9" s="213">
        <f>P9</f>
        <v>2.4E-2</v>
      </c>
      <c r="BQ9" s="258">
        <f t="shared" ref="BQ9:BQ15" si="52">SUM((BN9+BO9+BP9))</f>
        <v>7.2000000000000008E-2</v>
      </c>
      <c r="BR9" s="214"/>
      <c r="BS9" s="213">
        <f>Q9</f>
        <v>2.3E-2</v>
      </c>
      <c r="BT9" s="213">
        <f>Q9</f>
        <v>2.3E-2</v>
      </c>
      <c r="BU9" s="213">
        <f>Q9</f>
        <v>2.3E-2</v>
      </c>
      <c r="BV9" s="258">
        <f t="shared" ref="BV9:BV15" si="53">SUM((BS9+BT9+BU9))</f>
        <v>6.9000000000000006E-2</v>
      </c>
      <c r="BW9" s="214"/>
      <c r="BX9" s="213">
        <f>R9</f>
        <v>2.1999999999999999E-2</v>
      </c>
      <c r="BY9" s="213">
        <f>R9</f>
        <v>2.1999999999999999E-2</v>
      </c>
      <c r="BZ9" s="213">
        <f>R9</f>
        <v>2.1999999999999999E-2</v>
      </c>
      <c r="CA9" s="258">
        <f t="shared" ref="CA9:CA16" si="54">SUM((BX9+BY9+BZ9))</f>
        <v>6.6000000000000003E-2</v>
      </c>
      <c r="CB9" s="214"/>
      <c r="CC9" s="213">
        <f>S9</f>
        <v>2.0999999999999998E-2</v>
      </c>
      <c r="CD9" s="213">
        <f>S9</f>
        <v>2.0999999999999998E-2</v>
      </c>
      <c r="CE9" s="213">
        <f>S9</f>
        <v>2.0999999999999998E-2</v>
      </c>
      <c r="CF9" s="258">
        <f t="shared" ref="CF9:CF16" si="55">SUM((CC9+CD9+CE9))</f>
        <v>6.3E-2</v>
      </c>
      <c r="CG9" s="215"/>
    </row>
    <row r="10" spans="1:175" s="10" customFormat="1" ht="9.75" customHeight="1" x14ac:dyDescent="0.15">
      <c r="A10" s="482" t="s">
        <v>181</v>
      </c>
      <c r="B10" s="270">
        <v>0.03</v>
      </c>
      <c r="C10" s="293">
        <v>-2E-3</v>
      </c>
      <c r="D10" s="194"/>
      <c r="E10" s="441"/>
      <c r="F10" s="118">
        <v>0</v>
      </c>
      <c r="G10" s="126">
        <v>0.02</v>
      </c>
      <c r="H10" s="112">
        <f t="shared" ref="H10:H13" si="56">SUM(IF((0*(IF(ISBLANK(E10),C10,E10)))+(IF(ISBLANK(D10),B10,D10)) &lt; 0, 0, (0*(IF(ISBLANK(E10),C10,E10)))+(IF(ISBLANK(D10),B10,D10))))</f>
        <v>0.03</v>
      </c>
      <c r="I10" s="112">
        <f t="shared" ref="I10:I13" si="57">SUM(IF((1*(IF(ISBLANK(E10),C10,E10)))+(IF(ISBLANK(D10),B10,D10)) &lt; 0, 0, (1*(IF(ISBLANK(E10),C10,E10)))+(IF(ISBLANK(D10),B10,D10))))</f>
        <v>2.7999999999999997E-2</v>
      </c>
      <c r="J10" s="261">
        <f t="shared" ref="J10:J15" si="58">SUM(((1+F10)*(1+F10)*(1+F10)*(1+G10)*(1+G10)*(1+G10)*(1+H10)*(1+H10)*(1+H10)*(1+I10)*(1+I10)*(1+I10))-1)</f>
        <v>0.25977078747446236</v>
      </c>
      <c r="K10" s="112">
        <f t="shared" ref="K10:K13" si="59">SUM(IF((2*(IF(ISBLANK(E10),C10,E10)))+(IF(ISBLANK(D10),B10,D10)) &lt; 0, 0, (2*(IF(ISBLANK(E10),C10,E10)))+(IF(ISBLANK(D10),B10,D10))))</f>
        <v>2.5999999999999999E-2</v>
      </c>
      <c r="L10" s="112">
        <f t="shared" ref="L10:L13" si="60">SUM(IF((3*(IF(ISBLANK(E10),C10,E10)))+(IF(ISBLANK(D10),B10,D10)) &lt; 0, 0, (3*(IF(ISBLANK(E10),C10,E10)))+(IF(ISBLANK(D10),B10,D10))))</f>
        <v>2.4E-2</v>
      </c>
      <c r="M10" s="112">
        <f t="shared" ref="M10:M13" si="61">SUM(IF((4*(IF(ISBLANK(E10),C10,E10)))+(IF(ISBLANK(D10),B10,D10)) &lt; 0, 0, (4*(IF(ISBLANK(E10),C10,E10)))+(IF(ISBLANK(D10),B10,D10))))</f>
        <v>2.1999999999999999E-2</v>
      </c>
      <c r="N10" s="112">
        <f t="shared" ref="N10:N13" si="62">SUM(IF((5*(IF(ISBLANK(E10),C10,E10)))+(IF(ISBLANK(D10),B10,D10)) &lt; 0, 0, (5*(IF(ISBLANK(E10),C10,E10)))+(IF(ISBLANK(D10),B10,D10))))</f>
        <v>1.9999999999999997E-2</v>
      </c>
      <c r="O10" s="261">
        <f t="shared" ref="O10:O15" si="63">SUM(((1+K10)*(1+K10)*(1+K10)*(1+L10)*(1+L10)*(1+L10)*(1+M10)*(1+M10)*(1+M10)*(1+N10)*(1+N10)*(1+N10))-1)</f>
        <v>0.31369683902803924</v>
      </c>
      <c r="P10" s="112">
        <f t="shared" ref="P10:P13" si="64">SUM(IF((6*(IF(ISBLANK(E10),C10,E10)))+(IF(ISBLANK(D10),B10,D10)) &lt; 0, 0, (6*(IF(ISBLANK(E10),C10,E10)))+(IF(ISBLANK(D10),B10,D10))))</f>
        <v>1.7999999999999999E-2</v>
      </c>
      <c r="Q10" s="112">
        <f t="shared" ref="Q10:Q13" si="65">SUM(IF((7*(IF(ISBLANK(E10),C10,E10)))+(IF(ISBLANK(D10),B10,D10)) &lt; 0, 0, (7*(IF(ISBLANK(E10),C10,E10)))+(IF(ISBLANK(D10),B10,D10))))</f>
        <v>1.6E-2</v>
      </c>
      <c r="R10" s="112">
        <f t="shared" ref="R10:R13" si="66">SUM(IF((8*(IF(ISBLANK(E10),C10,E10)))+(IF(ISBLANK(D10),B10,D10)) &lt; 0, 0, (8*(IF(ISBLANK(E10),C10,E10)))+(IF(ISBLANK(D10),B10,D10))))</f>
        <v>1.3999999999999999E-2</v>
      </c>
      <c r="S10" s="112">
        <f t="shared" ref="S10:S13" si="67">SUM(IF((9*(IF(ISBLANK(E10),C10,E10)))+(IF(ISBLANK(D10),B10,D10)) &lt; 0, 0, (9*(IF(ISBLANK(E10),C10,E10)))+(IF(ISBLANK(D10),B10,D10))))</f>
        <v>1.1999999999999997E-2</v>
      </c>
      <c r="T10" s="262">
        <f t="shared" ref="T10:T15" si="68">SUM(((1+P10)*(1+P10)*(1+P10)*(1+Q10)*(1+Q10)*(1+Q10)*(1+R10)*(1+R10)*(1+R10)*(1+S10)*(1+S10)*(1+S10))-1)</f>
        <v>0.19558335560514584</v>
      </c>
      <c r="U10" s="460">
        <f>SUM(IF((12*(IF(ISBLANK(E10),C10,E10)))+(IF(ISBLANK(D10),B10,D10)) &lt; 0, 0, (12*(IF(ISBLANK(E10),C10,E10)))+(IF(ISBLANK(D10),B10,D10))))*12</f>
        <v>7.1999999999999981E-2</v>
      </c>
      <c r="V10" s="261">
        <f>SUM(IF((15*(IF(ISBLANK(E10),C10,E10)))+(IF(ISBLANK(D10),B10,D10)) &lt; 0, 0, (15*(IF(ISBLANK(E10),C10,E10)))+(IF(ISBLANK(D10),B10,D10))))*12</f>
        <v>0</v>
      </c>
      <c r="W10" s="262">
        <f>SUM(IF((18*(IF(ISBLANK(E10),C10,E10)))+(IF(ISBLANK(D10),B10,D10)) &lt; 0, 0, (18*(IF(ISBLANK(E10),C10,E10)))+(IF(ISBLANK(D10),B10,D10))))*12</f>
        <v>0</v>
      </c>
      <c r="X10" s="174"/>
      <c r="Y10" s="499">
        <v>0</v>
      </c>
      <c r="Z10" s="112">
        <f t="shared" ref="Z10:Z13" si="69">F10</f>
        <v>0</v>
      </c>
      <c r="AA10" s="112">
        <f t="shared" ref="AA10:AA13" si="70">F10</f>
        <v>0</v>
      </c>
      <c r="AB10" s="112">
        <f t="shared" ref="AB10:AB13" si="71">F10</f>
        <v>0</v>
      </c>
      <c r="AC10" s="261">
        <f t="shared" si="9"/>
        <v>0</v>
      </c>
      <c r="AD10" s="114"/>
      <c r="AE10" s="112">
        <f t="shared" ref="AE10:AE13" si="72">G10</f>
        <v>0.02</v>
      </c>
      <c r="AF10" s="112">
        <f t="shared" ref="AF10:AF13" si="73">G10</f>
        <v>0.02</v>
      </c>
      <c r="AG10" s="112">
        <f t="shared" ref="AG10:AG13" si="74">G10</f>
        <v>0.02</v>
      </c>
      <c r="AH10" s="261">
        <f t="shared" si="10"/>
        <v>0.06</v>
      </c>
      <c r="AI10" s="114"/>
      <c r="AJ10" s="112">
        <f t="shared" ref="AJ10:AJ13" si="75">H10</f>
        <v>0.03</v>
      </c>
      <c r="AK10" s="112">
        <f t="shared" ref="AK10:AK13" si="76">H10</f>
        <v>0.03</v>
      </c>
      <c r="AL10" s="112">
        <f t="shared" ref="AL10:AL13" si="77">H10</f>
        <v>0.03</v>
      </c>
      <c r="AM10" s="261">
        <f t="shared" si="11"/>
        <v>0.09</v>
      </c>
      <c r="AN10" s="114"/>
      <c r="AO10" s="112">
        <f t="shared" ref="AO10:AO13" si="78">I10</f>
        <v>2.7999999999999997E-2</v>
      </c>
      <c r="AP10" s="112">
        <f t="shared" ref="AP10:AP13" si="79">I10</f>
        <v>2.7999999999999997E-2</v>
      </c>
      <c r="AQ10" s="112">
        <f t="shared" ref="AQ10:AQ13" si="80">I10</f>
        <v>2.7999999999999997E-2</v>
      </c>
      <c r="AR10" s="261">
        <f t="shared" si="15"/>
        <v>8.3999999999999991E-2</v>
      </c>
      <c r="AS10" s="114"/>
      <c r="AT10" s="112">
        <f t="shared" ref="AT10:AT13" si="81">K10</f>
        <v>2.5999999999999999E-2</v>
      </c>
      <c r="AU10" s="112">
        <f t="shared" ref="AU10:AU13" si="82">K10</f>
        <v>2.5999999999999999E-2</v>
      </c>
      <c r="AV10" s="112">
        <f t="shared" ref="AV10:AV13" si="83">K10</f>
        <v>2.5999999999999999E-2</v>
      </c>
      <c r="AW10" s="261">
        <f t="shared" si="19"/>
        <v>7.8E-2</v>
      </c>
      <c r="AX10" s="114"/>
      <c r="AY10" s="112">
        <f t="shared" ref="AY10:AY13" si="84">L10</f>
        <v>2.4E-2</v>
      </c>
      <c r="AZ10" s="112">
        <f t="shared" ref="AZ10:AZ13" si="85">L10</f>
        <v>2.4E-2</v>
      </c>
      <c r="BA10" s="112">
        <f t="shared" ref="BA10:BA13" si="86">L10</f>
        <v>2.4E-2</v>
      </c>
      <c r="BB10" s="261">
        <f t="shared" si="23"/>
        <v>7.2000000000000008E-2</v>
      </c>
      <c r="BC10" s="114"/>
      <c r="BD10" s="112">
        <f t="shared" ref="BD10:BD13" si="87">M10</f>
        <v>2.1999999999999999E-2</v>
      </c>
      <c r="BE10" s="112">
        <f t="shared" ref="BE10:BE13" si="88">M10</f>
        <v>2.1999999999999999E-2</v>
      </c>
      <c r="BF10" s="112">
        <f t="shared" ref="BF10:BF13" si="89">M10</f>
        <v>2.1999999999999999E-2</v>
      </c>
      <c r="BG10" s="261">
        <f t="shared" si="27"/>
        <v>6.6000000000000003E-2</v>
      </c>
      <c r="BH10" s="114"/>
      <c r="BI10" s="112">
        <f t="shared" ref="BI10:BI13" si="90">N10</f>
        <v>1.9999999999999997E-2</v>
      </c>
      <c r="BJ10" s="112">
        <f t="shared" ref="BJ10:BJ13" si="91">N10</f>
        <v>1.9999999999999997E-2</v>
      </c>
      <c r="BK10" s="112">
        <f t="shared" ref="BK10:BK13" si="92">N10</f>
        <v>1.9999999999999997E-2</v>
      </c>
      <c r="BL10" s="261">
        <f t="shared" si="51"/>
        <v>5.9999999999999991E-2</v>
      </c>
      <c r="BM10" s="114"/>
      <c r="BN10" s="112">
        <f t="shared" ref="BN10:BN13" si="93">P10</f>
        <v>1.7999999999999999E-2</v>
      </c>
      <c r="BO10" s="112">
        <f t="shared" ref="BO10:BO13" si="94">P10</f>
        <v>1.7999999999999999E-2</v>
      </c>
      <c r="BP10" s="112">
        <f t="shared" ref="BP10:BP13" si="95">P10</f>
        <v>1.7999999999999999E-2</v>
      </c>
      <c r="BQ10" s="261">
        <f t="shared" si="52"/>
        <v>5.3999999999999992E-2</v>
      </c>
      <c r="BR10" s="114"/>
      <c r="BS10" s="112">
        <f t="shared" ref="BS10:BS13" si="96">Q10</f>
        <v>1.6E-2</v>
      </c>
      <c r="BT10" s="112">
        <f t="shared" ref="BT10:BT13" si="97">Q10</f>
        <v>1.6E-2</v>
      </c>
      <c r="BU10" s="112">
        <f t="shared" ref="BU10:BU13" si="98">Q10</f>
        <v>1.6E-2</v>
      </c>
      <c r="BV10" s="261">
        <f t="shared" si="53"/>
        <v>4.8000000000000001E-2</v>
      </c>
      <c r="BW10" s="114"/>
      <c r="BX10" s="112">
        <f t="shared" ref="BX10:BX13" si="99">R10</f>
        <v>1.3999999999999999E-2</v>
      </c>
      <c r="BY10" s="112">
        <f t="shared" ref="BY10:BY13" si="100">R10</f>
        <v>1.3999999999999999E-2</v>
      </c>
      <c r="BZ10" s="112">
        <f t="shared" ref="BZ10:BZ13" si="101">R10</f>
        <v>1.3999999999999999E-2</v>
      </c>
      <c r="CA10" s="261">
        <f t="shared" si="54"/>
        <v>4.1999999999999996E-2</v>
      </c>
      <c r="CB10" s="114"/>
      <c r="CC10" s="112">
        <f t="shared" ref="CC10:CC13" si="102">S10</f>
        <v>1.1999999999999997E-2</v>
      </c>
      <c r="CD10" s="112">
        <f t="shared" ref="CD10:CD13" si="103">S10</f>
        <v>1.1999999999999997E-2</v>
      </c>
      <c r="CE10" s="112">
        <f t="shared" ref="CE10:CE13" si="104">S10</f>
        <v>1.1999999999999997E-2</v>
      </c>
      <c r="CF10" s="261">
        <f t="shared" si="55"/>
        <v>3.599999999999999E-2</v>
      </c>
      <c r="CG10" s="113"/>
    </row>
    <row r="11" spans="1:175" s="10" customFormat="1" ht="9.75" customHeight="1" x14ac:dyDescent="0.15">
      <c r="A11" s="482" t="s">
        <v>183</v>
      </c>
      <c r="B11" s="270">
        <v>0.03</v>
      </c>
      <c r="C11" s="293">
        <v>-4.0000000000000001E-3</v>
      </c>
      <c r="D11" s="194"/>
      <c r="E11" s="441"/>
      <c r="F11" s="118">
        <v>0</v>
      </c>
      <c r="G11" s="126">
        <v>0.02</v>
      </c>
      <c r="H11" s="112">
        <f t="shared" si="56"/>
        <v>0.03</v>
      </c>
      <c r="I11" s="112">
        <f t="shared" si="57"/>
        <v>2.5999999999999999E-2</v>
      </c>
      <c r="J11" s="261">
        <f t="shared" si="58"/>
        <v>0.25243233536754506</v>
      </c>
      <c r="K11" s="112">
        <f t="shared" si="59"/>
        <v>2.1999999999999999E-2</v>
      </c>
      <c r="L11" s="112">
        <f t="shared" si="60"/>
        <v>1.7999999999999999E-2</v>
      </c>
      <c r="M11" s="112">
        <f t="shared" si="61"/>
        <v>1.3999999999999999E-2</v>
      </c>
      <c r="N11" s="112">
        <f t="shared" si="62"/>
        <v>9.9999999999999985E-3</v>
      </c>
      <c r="O11" s="261">
        <f t="shared" si="63"/>
        <v>0.20968976938335415</v>
      </c>
      <c r="P11" s="112">
        <f t="shared" si="64"/>
        <v>5.9999999999999984E-3</v>
      </c>
      <c r="Q11" s="112">
        <f t="shared" si="65"/>
        <v>1.9999999999999983E-3</v>
      </c>
      <c r="R11" s="112">
        <f t="shared" si="66"/>
        <v>0</v>
      </c>
      <c r="S11" s="112">
        <f t="shared" si="67"/>
        <v>0</v>
      </c>
      <c r="T11" s="262">
        <f t="shared" si="68"/>
        <v>2.4229090739457781E-2</v>
      </c>
      <c r="U11" s="460">
        <f>SUM(IF((12*(IF(ISBLANK(E11),C11,E11)))+(IF(ISBLANK(D11),B11,D11)) &lt; 0, 0, (12*(IF(ISBLANK(E11),C11,E11)))+(IF(ISBLANK(D11),B11,D11))))*12</f>
        <v>0</v>
      </c>
      <c r="V11" s="261">
        <f>SUM(IF((15*(IF(ISBLANK(E11),C11,E11)))+(IF(ISBLANK(D11),B11,D11)) &lt; 0, 0, (15*(IF(ISBLANK(E11),C11,E11)))+(IF(ISBLANK(D11),B11,D11))))*12</f>
        <v>0</v>
      </c>
      <c r="W11" s="262">
        <f>SUM(IF((18*(IF(ISBLANK(E11),C11,E11)))+(IF(ISBLANK(D11),B11,D11)) &lt; 0, 0, (18*(IF(ISBLANK(E11),C11,E11)))+(IF(ISBLANK(D11),B11,D11))))*12</f>
        <v>0</v>
      </c>
      <c r="X11" s="174"/>
      <c r="Y11" s="499">
        <v>0</v>
      </c>
      <c r="Z11" s="112">
        <f t="shared" si="69"/>
        <v>0</v>
      </c>
      <c r="AA11" s="112">
        <f t="shared" si="70"/>
        <v>0</v>
      </c>
      <c r="AB11" s="112">
        <f t="shared" si="71"/>
        <v>0</v>
      </c>
      <c r="AC11" s="261">
        <f t="shared" si="9"/>
        <v>0</v>
      </c>
      <c r="AD11" s="114"/>
      <c r="AE11" s="112">
        <f t="shared" si="72"/>
        <v>0.02</v>
      </c>
      <c r="AF11" s="112">
        <f t="shared" si="73"/>
        <v>0.02</v>
      </c>
      <c r="AG11" s="112">
        <f t="shared" si="74"/>
        <v>0.02</v>
      </c>
      <c r="AH11" s="261">
        <f t="shared" si="10"/>
        <v>0.06</v>
      </c>
      <c r="AI11" s="114"/>
      <c r="AJ11" s="112">
        <f t="shared" si="75"/>
        <v>0.03</v>
      </c>
      <c r="AK11" s="112">
        <f t="shared" si="76"/>
        <v>0.03</v>
      </c>
      <c r="AL11" s="112">
        <f t="shared" si="77"/>
        <v>0.03</v>
      </c>
      <c r="AM11" s="261">
        <f t="shared" si="11"/>
        <v>0.09</v>
      </c>
      <c r="AN11" s="114"/>
      <c r="AO11" s="112">
        <f t="shared" si="78"/>
        <v>2.5999999999999999E-2</v>
      </c>
      <c r="AP11" s="112">
        <f t="shared" si="79"/>
        <v>2.5999999999999999E-2</v>
      </c>
      <c r="AQ11" s="112">
        <f t="shared" si="80"/>
        <v>2.5999999999999999E-2</v>
      </c>
      <c r="AR11" s="261">
        <f t="shared" si="15"/>
        <v>7.8E-2</v>
      </c>
      <c r="AS11" s="114"/>
      <c r="AT11" s="112">
        <f t="shared" si="81"/>
        <v>2.1999999999999999E-2</v>
      </c>
      <c r="AU11" s="112">
        <f t="shared" si="82"/>
        <v>2.1999999999999999E-2</v>
      </c>
      <c r="AV11" s="112">
        <f t="shared" si="83"/>
        <v>2.1999999999999999E-2</v>
      </c>
      <c r="AW11" s="261">
        <f t="shared" si="19"/>
        <v>6.6000000000000003E-2</v>
      </c>
      <c r="AX11" s="114"/>
      <c r="AY11" s="112">
        <f t="shared" si="84"/>
        <v>1.7999999999999999E-2</v>
      </c>
      <c r="AZ11" s="112">
        <f t="shared" si="85"/>
        <v>1.7999999999999999E-2</v>
      </c>
      <c r="BA11" s="112">
        <f t="shared" si="86"/>
        <v>1.7999999999999999E-2</v>
      </c>
      <c r="BB11" s="261">
        <f t="shared" si="23"/>
        <v>5.3999999999999992E-2</v>
      </c>
      <c r="BC11" s="114"/>
      <c r="BD11" s="112">
        <f t="shared" si="87"/>
        <v>1.3999999999999999E-2</v>
      </c>
      <c r="BE11" s="112">
        <f t="shared" si="88"/>
        <v>1.3999999999999999E-2</v>
      </c>
      <c r="BF11" s="112">
        <f t="shared" si="89"/>
        <v>1.3999999999999999E-2</v>
      </c>
      <c r="BG11" s="261">
        <f t="shared" si="27"/>
        <v>4.1999999999999996E-2</v>
      </c>
      <c r="BH11" s="114"/>
      <c r="BI11" s="112">
        <f t="shared" si="90"/>
        <v>9.9999999999999985E-3</v>
      </c>
      <c r="BJ11" s="112">
        <f t="shared" si="91"/>
        <v>9.9999999999999985E-3</v>
      </c>
      <c r="BK11" s="112">
        <f t="shared" si="92"/>
        <v>9.9999999999999985E-3</v>
      </c>
      <c r="BL11" s="261">
        <f t="shared" si="51"/>
        <v>2.9999999999999995E-2</v>
      </c>
      <c r="BM11" s="114"/>
      <c r="BN11" s="112">
        <f t="shared" si="93"/>
        <v>5.9999999999999984E-3</v>
      </c>
      <c r="BO11" s="112">
        <f t="shared" si="94"/>
        <v>5.9999999999999984E-3</v>
      </c>
      <c r="BP11" s="112">
        <f t="shared" si="95"/>
        <v>5.9999999999999984E-3</v>
      </c>
      <c r="BQ11" s="261">
        <f t="shared" si="52"/>
        <v>1.7999999999999995E-2</v>
      </c>
      <c r="BR11" s="114"/>
      <c r="BS11" s="112">
        <f t="shared" si="96"/>
        <v>1.9999999999999983E-3</v>
      </c>
      <c r="BT11" s="112">
        <f t="shared" si="97"/>
        <v>1.9999999999999983E-3</v>
      </c>
      <c r="BU11" s="112">
        <f t="shared" si="98"/>
        <v>1.9999999999999983E-3</v>
      </c>
      <c r="BV11" s="261">
        <f t="shared" si="53"/>
        <v>5.9999999999999949E-3</v>
      </c>
      <c r="BW11" s="114"/>
      <c r="BX11" s="112">
        <f t="shared" si="99"/>
        <v>0</v>
      </c>
      <c r="BY11" s="112">
        <f t="shared" si="100"/>
        <v>0</v>
      </c>
      <c r="BZ11" s="112">
        <f t="shared" si="101"/>
        <v>0</v>
      </c>
      <c r="CA11" s="261">
        <f t="shared" si="54"/>
        <v>0</v>
      </c>
      <c r="CB11" s="114"/>
      <c r="CC11" s="112">
        <f t="shared" si="102"/>
        <v>0</v>
      </c>
      <c r="CD11" s="112">
        <f t="shared" si="103"/>
        <v>0</v>
      </c>
      <c r="CE11" s="112">
        <f t="shared" si="104"/>
        <v>0</v>
      </c>
      <c r="CF11" s="261">
        <f t="shared" si="55"/>
        <v>0</v>
      </c>
      <c r="CG11" s="113"/>
    </row>
    <row r="12" spans="1:175" s="10" customFormat="1" ht="9.75" customHeight="1" x14ac:dyDescent="0.15">
      <c r="A12" s="482" t="s">
        <v>182</v>
      </c>
      <c r="B12" s="270">
        <v>0.03</v>
      </c>
      <c r="C12" s="293">
        <v>-5.0000000000000001E-3</v>
      </c>
      <c r="D12" s="194"/>
      <c r="E12" s="441"/>
      <c r="F12" s="118">
        <v>0</v>
      </c>
      <c r="G12" s="126">
        <v>0.05</v>
      </c>
      <c r="H12" s="112">
        <f t="shared" si="56"/>
        <v>0.03</v>
      </c>
      <c r="I12" s="112">
        <f t="shared" si="57"/>
        <v>2.4999999999999998E-2</v>
      </c>
      <c r="J12" s="261">
        <f t="shared" si="58"/>
        <v>0.36223228067966207</v>
      </c>
      <c r="K12" s="112">
        <f t="shared" si="59"/>
        <v>1.9999999999999997E-2</v>
      </c>
      <c r="L12" s="112">
        <f t="shared" si="60"/>
        <v>1.4999999999999999E-2</v>
      </c>
      <c r="M12" s="112">
        <f t="shared" si="61"/>
        <v>9.9999999999999985E-3</v>
      </c>
      <c r="N12" s="112">
        <f t="shared" si="62"/>
        <v>4.9999999999999975E-3</v>
      </c>
      <c r="O12" s="261">
        <f t="shared" si="63"/>
        <v>0.16054223105011522</v>
      </c>
      <c r="P12" s="112">
        <f t="shared" si="64"/>
        <v>0</v>
      </c>
      <c r="Q12" s="112">
        <f t="shared" si="65"/>
        <v>0</v>
      </c>
      <c r="R12" s="112">
        <f t="shared" si="66"/>
        <v>0</v>
      </c>
      <c r="S12" s="112">
        <f t="shared" si="67"/>
        <v>0</v>
      </c>
      <c r="T12" s="262">
        <f t="shared" si="68"/>
        <v>0</v>
      </c>
      <c r="U12" s="460">
        <f>SUM(IF((12*(IF(ISBLANK(E12),C12,E12)))+(IF(ISBLANK(D12),B12,D12)) &lt; 0, 0, (12*(IF(ISBLANK(E12),C12,E12)))+(IF(ISBLANK(D12),B12,D12))))*12</f>
        <v>0</v>
      </c>
      <c r="V12" s="261">
        <f>SUM(IF((15*(IF(ISBLANK(E12),C12,E12)))+(IF(ISBLANK(D12),B12,D12)) &lt; 0, 0, (15*(IF(ISBLANK(E12),C12,E12)))+(IF(ISBLANK(D12),B12,D12))))*12</f>
        <v>0</v>
      </c>
      <c r="W12" s="262">
        <f>SUM(IF((18*(IF(ISBLANK(E12),C12,E12)))+(IF(ISBLANK(D12),B12,D12)) &lt; 0, 0, (18*(IF(ISBLANK(E12),C12,E12)))+(IF(ISBLANK(D12),B12,D12))))*12</f>
        <v>0</v>
      </c>
      <c r="X12" s="174"/>
      <c r="Y12" s="499">
        <v>0</v>
      </c>
      <c r="Z12" s="112">
        <f t="shared" si="69"/>
        <v>0</v>
      </c>
      <c r="AA12" s="112">
        <f t="shared" si="70"/>
        <v>0</v>
      </c>
      <c r="AB12" s="112">
        <f t="shared" si="71"/>
        <v>0</v>
      </c>
      <c r="AC12" s="261">
        <f t="shared" si="9"/>
        <v>0</v>
      </c>
      <c r="AD12" s="114"/>
      <c r="AE12" s="112">
        <f t="shared" si="72"/>
        <v>0.05</v>
      </c>
      <c r="AF12" s="112">
        <f t="shared" si="73"/>
        <v>0.05</v>
      </c>
      <c r="AG12" s="112">
        <f t="shared" si="74"/>
        <v>0.05</v>
      </c>
      <c r="AH12" s="261">
        <f t="shared" si="10"/>
        <v>0.15000000000000002</v>
      </c>
      <c r="AI12" s="114"/>
      <c r="AJ12" s="112">
        <f t="shared" si="75"/>
        <v>0.03</v>
      </c>
      <c r="AK12" s="112">
        <f t="shared" si="76"/>
        <v>0.03</v>
      </c>
      <c r="AL12" s="112">
        <f t="shared" si="77"/>
        <v>0.03</v>
      </c>
      <c r="AM12" s="261">
        <f t="shared" si="11"/>
        <v>0.09</v>
      </c>
      <c r="AN12" s="114"/>
      <c r="AO12" s="112">
        <f t="shared" si="78"/>
        <v>2.4999999999999998E-2</v>
      </c>
      <c r="AP12" s="112">
        <f t="shared" si="79"/>
        <v>2.4999999999999998E-2</v>
      </c>
      <c r="AQ12" s="112">
        <f t="shared" si="80"/>
        <v>2.4999999999999998E-2</v>
      </c>
      <c r="AR12" s="261">
        <f t="shared" si="15"/>
        <v>7.4999999999999997E-2</v>
      </c>
      <c r="AS12" s="114"/>
      <c r="AT12" s="112">
        <f t="shared" si="81"/>
        <v>1.9999999999999997E-2</v>
      </c>
      <c r="AU12" s="112">
        <f t="shared" si="82"/>
        <v>1.9999999999999997E-2</v>
      </c>
      <c r="AV12" s="112">
        <f t="shared" si="83"/>
        <v>1.9999999999999997E-2</v>
      </c>
      <c r="AW12" s="261">
        <f t="shared" si="19"/>
        <v>5.9999999999999991E-2</v>
      </c>
      <c r="AX12" s="114"/>
      <c r="AY12" s="112">
        <f t="shared" si="84"/>
        <v>1.4999999999999999E-2</v>
      </c>
      <c r="AZ12" s="112">
        <f t="shared" si="85"/>
        <v>1.4999999999999999E-2</v>
      </c>
      <c r="BA12" s="112">
        <f t="shared" si="86"/>
        <v>1.4999999999999999E-2</v>
      </c>
      <c r="BB12" s="261">
        <f t="shared" si="23"/>
        <v>4.4999999999999998E-2</v>
      </c>
      <c r="BC12" s="114"/>
      <c r="BD12" s="112">
        <f t="shared" si="87"/>
        <v>9.9999999999999985E-3</v>
      </c>
      <c r="BE12" s="112">
        <f t="shared" si="88"/>
        <v>9.9999999999999985E-3</v>
      </c>
      <c r="BF12" s="112">
        <f t="shared" si="89"/>
        <v>9.9999999999999985E-3</v>
      </c>
      <c r="BG12" s="261">
        <f t="shared" si="27"/>
        <v>2.9999999999999995E-2</v>
      </c>
      <c r="BH12" s="114"/>
      <c r="BI12" s="112">
        <f t="shared" si="90"/>
        <v>4.9999999999999975E-3</v>
      </c>
      <c r="BJ12" s="112">
        <f t="shared" si="91"/>
        <v>4.9999999999999975E-3</v>
      </c>
      <c r="BK12" s="112">
        <f t="shared" si="92"/>
        <v>4.9999999999999975E-3</v>
      </c>
      <c r="BL12" s="261">
        <f t="shared" si="51"/>
        <v>1.4999999999999993E-2</v>
      </c>
      <c r="BM12" s="114"/>
      <c r="BN12" s="112">
        <f t="shared" si="93"/>
        <v>0</v>
      </c>
      <c r="BO12" s="112">
        <f t="shared" si="94"/>
        <v>0</v>
      </c>
      <c r="BP12" s="112">
        <f t="shared" si="95"/>
        <v>0</v>
      </c>
      <c r="BQ12" s="261">
        <f t="shared" si="52"/>
        <v>0</v>
      </c>
      <c r="BR12" s="114"/>
      <c r="BS12" s="112">
        <f t="shared" si="96"/>
        <v>0</v>
      </c>
      <c r="BT12" s="112">
        <f t="shared" si="97"/>
        <v>0</v>
      </c>
      <c r="BU12" s="112">
        <f t="shared" si="98"/>
        <v>0</v>
      </c>
      <c r="BV12" s="261">
        <f t="shared" si="53"/>
        <v>0</v>
      </c>
      <c r="BW12" s="114"/>
      <c r="BX12" s="112">
        <f t="shared" si="99"/>
        <v>0</v>
      </c>
      <c r="BY12" s="112">
        <f t="shared" si="100"/>
        <v>0</v>
      </c>
      <c r="BZ12" s="112">
        <f t="shared" si="101"/>
        <v>0</v>
      </c>
      <c r="CA12" s="261">
        <f t="shared" si="54"/>
        <v>0</v>
      </c>
      <c r="CB12" s="114"/>
      <c r="CC12" s="112">
        <f t="shared" si="102"/>
        <v>0</v>
      </c>
      <c r="CD12" s="112">
        <f t="shared" si="103"/>
        <v>0</v>
      </c>
      <c r="CE12" s="112">
        <f t="shared" si="104"/>
        <v>0</v>
      </c>
      <c r="CF12" s="261">
        <f t="shared" si="55"/>
        <v>0</v>
      </c>
      <c r="CG12" s="113"/>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row>
    <row r="13" spans="1:175" s="10" customFormat="1" ht="9.75" customHeight="1" thickBot="1" x14ac:dyDescent="0.2">
      <c r="A13" s="483" t="s">
        <v>184</v>
      </c>
      <c r="B13" s="366">
        <v>0.01</v>
      </c>
      <c r="C13" s="297">
        <v>-3.0000000000000001E-3</v>
      </c>
      <c r="D13" s="244"/>
      <c r="E13" s="442"/>
      <c r="F13" s="447">
        <v>0</v>
      </c>
      <c r="G13" s="245">
        <v>0</v>
      </c>
      <c r="H13" s="217">
        <f t="shared" si="56"/>
        <v>0.01</v>
      </c>
      <c r="I13" s="217">
        <f t="shared" si="57"/>
        <v>7.0000000000000001E-3</v>
      </c>
      <c r="J13" s="264">
        <f t="shared" si="58"/>
        <v>5.2089128640242732E-2</v>
      </c>
      <c r="K13" s="217">
        <f t="shared" si="59"/>
        <v>4.0000000000000001E-3</v>
      </c>
      <c r="L13" s="217">
        <f t="shared" si="60"/>
        <v>9.9999999999999915E-4</v>
      </c>
      <c r="M13" s="217">
        <f t="shared" si="61"/>
        <v>0</v>
      </c>
      <c r="N13" s="217">
        <f t="shared" si="62"/>
        <v>0</v>
      </c>
      <c r="O13" s="264">
        <f t="shared" si="63"/>
        <v>1.5087245348239797E-2</v>
      </c>
      <c r="P13" s="217">
        <f t="shared" si="64"/>
        <v>0</v>
      </c>
      <c r="Q13" s="217">
        <f t="shared" si="65"/>
        <v>0</v>
      </c>
      <c r="R13" s="217">
        <f t="shared" si="66"/>
        <v>0</v>
      </c>
      <c r="S13" s="217">
        <f t="shared" si="67"/>
        <v>0</v>
      </c>
      <c r="T13" s="265">
        <f t="shared" si="68"/>
        <v>0</v>
      </c>
      <c r="U13" s="461">
        <f>SUM(IF((12*(IF(ISBLANK(E13),C13,E13)))+(IF(ISBLANK(D13),B13,D13)) &lt; 0, 0, (12*(IF(ISBLANK(E13),C13,E13)))+(IF(ISBLANK(D13),B13,D13))))*12</f>
        <v>0</v>
      </c>
      <c r="V13" s="264">
        <f>SUM(IF((15*(IF(ISBLANK(E13),C13,E13)))+(IF(ISBLANK(D13),B13,D13)) &lt; 0, 0, (15*(IF(ISBLANK(E13),C13,E13)))+(IF(ISBLANK(D13),B13,D13))))*12</f>
        <v>0</v>
      </c>
      <c r="W13" s="265">
        <f>SUM(IF((18*(IF(ISBLANK(E13),C13,E13)))+(IF(ISBLANK(D13),B13,D13)) &lt; 0, 0, (18*(IF(ISBLANK(E13),C13,E13)))+(IF(ISBLANK(D13),B13,D13))))*12</f>
        <v>0</v>
      </c>
      <c r="X13" s="220"/>
      <c r="Y13" s="500">
        <v>0</v>
      </c>
      <c r="Z13" s="217">
        <f t="shared" si="69"/>
        <v>0</v>
      </c>
      <c r="AA13" s="217">
        <f t="shared" si="70"/>
        <v>0</v>
      </c>
      <c r="AB13" s="217">
        <f t="shared" si="71"/>
        <v>0</v>
      </c>
      <c r="AC13" s="264">
        <f t="shared" si="9"/>
        <v>0</v>
      </c>
      <c r="AD13" s="218"/>
      <c r="AE13" s="217">
        <f t="shared" si="72"/>
        <v>0</v>
      </c>
      <c r="AF13" s="217">
        <f t="shared" si="73"/>
        <v>0</v>
      </c>
      <c r="AG13" s="217">
        <f t="shared" si="74"/>
        <v>0</v>
      </c>
      <c r="AH13" s="264">
        <f t="shared" si="10"/>
        <v>0</v>
      </c>
      <c r="AI13" s="218"/>
      <c r="AJ13" s="217">
        <f t="shared" si="75"/>
        <v>0.01</v>
      </c>
      <c r="AK13" s="217">
        <f t="shared" si="76"/>
        <v>0.01</v>
      </c>
      <c r="AL13" s="217">
        <f t="shared" si="77"/>
        <v>0.01</v>
      </c>
      <c r="AM13" s="264">
        <f t="shared" si="11"/>
        <v>0.03</v>
      </c>
      <c r="AN13" s="218"/>
      <c r="AO13" s="217">
        <f t="shared" si="78"/>
        <v>7.0000000000000001E-3</v>
      </c>
      <c r="AP13" s="217">
        <f t="shared" si="79"/>
        <v>7.0000000000000001E-3</v>
      </c>
      <c r="AQ13" s="217">
        <f t="shared" si="80"/>
        <v>7.0000000000000001E-3</v>
      </c>
      <c r="AR13" s="264">
        <f t="shared" si="15"/>
        <v>2.1000000000000001E-2</v>
      </c>
      <c r="AS13" s="218"/>
      <c r="AT13" s="217">
        <f t="shared" si="81"/>
        <v>4.0000000000000001E-3</v>
      </c>
      <c r="AU13" s="217">
        <f t="shared" si="82"/>
        <v>4.0000000000000001E-3</v>
      </c>
      <c r="AV13" s="217">
        <f t="shared" si="83"/>
        <v>4.0000000000000001E-3</v>
      </c>
      <c r="AW13" s="264">
        <f t="shared" si="19"/>
        <v>1.2E-2</v>
      </c>
      <c r="AX13" s="218"/>
      <c r="AY13" s="217">
        <f t="shared" si="84"/>
        <v>9.9999999999999915E-4</v>
      </c>
      <c r="AZ13" s="217">
        <f t="shared" si="85"/>
        <v>9.9999999999999915E-4</v>
      </c>
      <c r="BA13" s="217">
        <f t="shared" si="86"/>
        <v>9.9999999999999915E-4</v>
      </c>
      <c r="BB13" s="264">
        <f t="shared" si="23"/>
        <v>2.9999999999999975E-3</v>
      </c>
      <c r="BC13" s="218"/>
      <c r="BD13" s="217">
        <f t="shared" si="87"/>
        <v>0</v>
      </c>
      <c r="BE13" s="217">
        <f t="shared" si="88"/>
        <v>0</v>
      </c>
      <c r="BF13" s="217">
        <f t="shared" si="89"/>
        <v>0</v>
      </c>
      <c r="BG13" s="264">
        <f t="shared" si="27"/>
        <v>0</v>
      </c>
      <c r="BH13" s="218"/>
      <c r="BI13" s="217">
        <f t="shared" si="90"/>
        <v>0</v>
      </c>
      <c r="BJ13" s="217">
        <f t="shared" si="91"/>
        <v>0</v>
      </c>
      <c r="BK13" s="217">
        <f t="shared" si="92"/>
        <v>0</v>
      </c>
      <c r="BL13" s="264">
        <f t="shared" si="51"/>
        <v>0</v>
      </c>
      <c r="BM13" s="218"/>
      <c r="BN13" s="217">
        <f t="shared" si="93"/>
        <v>0</v>
      </c>
      <c r="BO13" s="217">
        <f t="shared" si="94"/>
        <v>0</v>
      </c>
      <c r="BP13" s="217">
        <f t="shared" si="95"/>
        <v>0</v>
      </c>
      <c r="BQ13" s="264">
        <f t="shared" si="52"/>
        <v>0</v>
      </c>
      <c r="BR13" s="218"/>
      <c r="BS13" s="217">
        <f t="shared" si="96"/>
        <v>0</v>
      </c>
      <c r="BT13" s="217">
        <f t="shared" si="97"/>
        <v>0</v>
      </c>
      <c r="BU13" s="217">
        <f t="shared" si="98"/>
        <v>0</v>
      </c>
      <c r="BV13" s="264">
        <f t="shared" si="53"/>
        <v>0</v>
      </c>
      <c r="BW13" s="218"/>
      <c r="BX13" s="217">
        <f t="shared" si="99"/>
        <v>0</v>
      </c>
      <c r="BY13" s="217">
        <f t="shared" si="100"/>
        <v>0</v>
      </c>
      <c r="BZ13" s="217">
        <f t="shared" si="101"/>
        <v>0</v>
      </c>
      <c r="CA13" s="264">
        <f t="shared" si="54"/>
        <v>0</v>
      </c>
      <c r="CB13" s="218"/>
      <c r="CC13" s="217">
        <f t="shared" si="102"/>
        <v>0</v>
      </c>
      <c r="CD13" s="217">
        <f t="shared" si="103"/>
        <v>0</v>
      </c>
      <c r="CE13" s="217">
        <f t="shared" si="104"/>
        <v>0</v>
      </c>
      <c r="CF13" s="264">
        <f t="shared" si="55"/>
        <v>0</v>
      </c>
      <c r="CG13" s="219"/>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row>
    <row r="14" spans="1:175" s="10" customFormat="1" ht="9.75" customHeight="1" x14ac:dyDescent="0.15">
      <c r="A14" s="237" t="s">
        <v>185</v>
      </c>
      <c r="B14" s="370">
        <v>100000</v>
      </c>
      <c r="C14" s="371">
        <v>1000000</v>
      </c>
      <c r="D14" s="238"/>
      <c r="E14" s="239"/>
      <c r="F14" s="240">
        <f>SUM(IF(((1-(Y18/(IF(ISBLANK(D14),B14,(IF(D14=0,9.99999999999999E+29,D14))))))*SUM(F9:F13))&lt;0,0,((1-(Y18/(IF(ISBLANK(D14),B14,(IF(D14=0,9.99999999999999E+29,D14))))))*SUM(F9:F13))))</f>
        <v>9.8499999999999994E-3</v>
      </c>
      <c r="G14" s="241">
        <f>SUM(IF(((1-(F18/(IF(ISBLANK(D14),B14,(IF(D14=0,9.99999999999999E+29,D14))))))*SUM(G9:G13))&lt;0,0,((1-(F18/(IF(ISBLANK(D14),B14,(IF(D14=0,9.99999999999999E+29,D14))))))*SUM(G9:G13))))</f>
        <v>0.11751320846116609</v>
      </c>
      <c r="H14" s="241">
        <f>SUM(IF(((1-(G18/(IF(ISBLANK(D14),B14,(IF(D14=0,9.99999999999999E+29,D14))))))*SUM(H9:H13))&lt;0,0,((1-(G18/(IF(ISBLANK(D14),B14,(IF(D14=0,9.99999999999999E+29,D14))))))*SUM(H9:H13))))</f>
        <v>0.12359778876173473</v>
      </c>
      <c r="I14" s="241">
        <f>SUM(IF(((1-(H18/(IF(ISBLANK(D14),B14,(IF(D14=0,9.99999999999999E+29,D14))))))*SUM(I9:I13))&lt;0,0,((1-(H18/(IF(ISBLANK(D14),B14,(IF(D14=0,9.99999999999999E+29,D14))))))*SUM(I9:I13))))</f>
        <v>0.10430936202656527</v>
      </c>
      <c r="J14" s="267">
        <f t="shared" si="58"/>
        <v>1.7455761521171094</v>
      </c>
      <c r="K14" s="241">
        <f>SUM(IF(((1-(I18/(IF(ISBLANK(E14),C14,(IF(E14=0,9.99999999999999E+29,E14))))))*SUM(K9:K13))&lt;0,0,((1-(I18/(IF(ISBLANK(E14),C14,(IF(E14=0,9.99999999999999E+29,E14))))))*SUM(K9:K13))))</f>
        <v>9.876122349041494E-2</v>
      </c>
      <c r="L14" s="241">
        <f>SUM(IF(((1-(K18/(IF(ISBLANK(E14),C14,(IF(E14=0,9.99999999999999E+29,E14))))))*SUM(L9:L13))&lt;0,0,((1-(K18/(IF(ISBLANK(E14),C14,(IF(E14=0,9.99999999999999E+29,E14))))))*SUM(L9:L13))))</f>
        <v>8.3650334535361595E-2</v>
      </c>
      <c r="M14" s="241">
        <f>SUM(IF(((1-(L18/(IF(ISBLANK(E14),C14,(IF(E14=0,9.99999999999999E+29,E14))))))*SUM(M9:M13))&lt;0,0,((1-(L18/(IF(ISBLANK(E14),C14,(IF(E14=0,9.99999999999999E+29,E14))))))*SUM(M9:M13))))</f>
        <v>7.0634254183379513E-2</v>
      </c>
      <c r="N14" s="241">
        <f>SUM(IF(((1-(M18/(IF(ISBLANK(E14),C14,(IF(E14=0,9.99999999999999E+29,E14))))))*SUM(N9:N13))&lt;0,0,((1-(M18/(IF(ISBLANK(E14),C14,(IF(E14=0,9.99999999999999E+29,E14))))))*SUM(N9:N13))))</f>
        <v>5.8692469874838303E-2</v>
      </c>
      <c r="O14" s="267">
        <f t="shared" si="63"/>
        <v>1.4581611805366919</v>
      </c>
      <c r="P14" s="241">
        <f>SUM(IF(((1-(N18/(IF(ISBLANK(E14),C14,(IF(E14=0,9.99999999999999E+29,E14))))))*SUM(P9:P13))&lt;0,0,((1-(N18/(IF(ISBLANK(E14),C14,(IF(E14=0,9.99999999999999E+29,E14))))))*SUM(P9:P13))))</f>
        <v>4.6822471333682461E-2</v>
      </c>
      <c r="Q14" s="241">
        <f>SUM(IF(((1-(P18/(IF(ISBLANK(E14),C14,(IF(E14=0,9.99999999999999E+29,E14))))))*SUM(Q9:Q13))&lt;0,0,((1-(P18/(IF(ISBLANK(E14),C14,(IF(E14=0,9.99999999999999E+29,E14))))))*SUM(Q9:Q13))))</f>
        <v>3.9882581929784666E-2</v>
      </c>
      <c r="R14" s="241">
        <f>SUM(IF(((1-(Q18/(IF(ISBLANK(E14),C14,(IF(E14=0,9.99999999999999E+29,E14))))))*SUM(R9:R13))&lt;0,0,((1-(Q18/(IF(ISBLANK(E14),C14,(IF(E14=0,9.99999999999999E+29,E14))))))*SUM(R9:R13))))</f>
        <v>3.490677203221447E-2</v>
      </c>
      <c r="S14" s="241">
        <f>SUM(IF(((1-(R18/(IF(ISBLANK(E14),C14,(IF(E14=0,9.99999999999999E+29,E14))))))*SUM(S9:S13))&lt;0,0,((1-(R18/(IF(ISBLANK(E14),C14,(IF(E14=0,9.99999999999999E+29,E14))))))*SUM(S9:S13))))</f>
        <v>3.1877362000755236E-2</v>
      </c>
      <c r="T14" s="268">
        <f t="shared" si="68"/>
        <v>0.57094131744345122</v>
      </c>
      <c r="U14" s="266">
        <f>SUM(IF(((1-(T18/(IF(ISBLANK(E14),C14,(IF(E14=0,9.99999999999999E+29,E14))))))*SUM(U9:U13))&lt;0,0,((1-(T18/(IF(ISBLANK(E14),C14,(IF(E14=0,9.99999999999999E+29,E14))))))*SUM(U9:U13))))</f>
        <v>0.27694024626044611</v>
      </c>
      <c r="V14" s="267">
        <f>SUM(IF(((1-(U18/(IF(ISBLANK(E14),C14,(IF(E14=0,9.99999999999999E+29,E14))))))*SUM(V9:V13))&lt;0,0,((1-(U18/(IF(ISBLANK(E14),C14,(IF(E14=0,9.99999999999999E+29,E14))))))*SUM(V9:V13))))</f>
        <v>0.16028969276362715</v>
      </c>
      <c r="W14" s="268">
        <f>SUM(IF(((1-(V18/(IF(ISBLANK(E14),C14,(IF(E14=0,9.99999999999999E+29,E14))))))*SUM(W9:W13))&lt;0,0,((1-(V18/(IF(ISBLANK(E14),C14,(IF(E14=0,9.99999999999999E+29,E14))))))*SUM(W9:W13))))</f>
        <v>0.11334005212482166</v>
      </c>
      <c r="X14" s="243"/>
      <c r="Y14" s="501">
        <v>0</v>
      </c>
      <c r="Z14" s="241">
        <f>F14</f>
        <v>9.8499999999999994E-3</v>
      </c>
      <c r="AA14" s="241">
        <f>F14</f>
        <v>9.8499999999999994E-3</v>
      </c>
      <c r="AB14" s="241">
        <f>F14</f>
        <v>9.8499999999999994E-3</v>
      </c>
      <c r="AC14" s="267">
        <f t="shared" si="9"/>
        <v>2.955E-2</v>
      </c>
      <c r="AD14" s="242"/>
      <c r="AE14" s="241">
        <f>G14</f>
        <v>0.11751320846116609</v>
      </c>
      <c r="AF14" s="241">
        <f>G14</f>
        <v>0.11751320846116609</v>
      </c>
      <c r="AG14" s="241">
        <f>G14</f>
        <v>0.11751320846116609</v>
      </c>
      <c r="AH14" s="267">
        <f t="shared" si="10"/>
        <v>0.35253962538349826</v>
      </c>
      <c r="AI14" s="242"/>
      <c r="AJ14" s="241">
        <f>H14</f>
        <v>0.12359778876173473</v>
      </c>
      <c r="AK14" s="241">
        <f>H14</f>
        <v>0.12359778876173473</v>
      </c>
      <c r="AL14" s="241">
        <f>H14</f>
        <v>0.12359778876173473</v>
      </c>
      <c r="AM14" s="267">
        <f t="shared" si="11"/>
        <v>0.37079336628520421</v>
      </c>
      <c r="AN14" s="242"/>
      <c r="AO14" s="241">
        <f>I14</f>
        <v>0.10430936202656527</v>
      </c>
      <c r="AP14" s="241">
        <f>I14</f>
        <v>0.10430936202656527</v>
      </c>
      <c r="AQ14" s="241">
        <f>I14</f>
        <v>0.10430936202656527</v>
      </c>
      <c r="AR14" s="267">
        <f t="shared" si="15"/>
        <v>0.3129280860796958</v>
      </c>
      <c r="AS14" s="242"/>
      <c r="AT14" s="241">
        <f>K14</f>
        <v>9.876122349041494E-2</v>
      </c>
      <c r="AU14" s="241">
        <f>K14</f>
        <v>9.876122349041494E-2</v>
      </c>
      <c r="AV14" s="241">
        <f>K14</f>
        <v>9.876122349041494E-2</v>
      </c>
      <c r="AW14" s="267">
        <f t="shared" si="19"/>
        <v>0.29628367047124482</v>
      </c>
      <c r="AX14" s="242"/>
      <c r="AY14" s="241">
        <f>L14</f>
        <v>8.3650334535361595E-2</v>
      </c>
      <c r="AZ14" s="241">
        <f>L14</f>
        <v>8.3650334535361595E-2</v>
      </c>
      <c r="BA14" s="241">
        <f>L14</f>
        <v>8.3650334535361595E-2</v>
      </c>
      <c r="BB14" s="267">
        <f t="shared" si="23"/>
        <v>0.2509510036060848</v>
      </c>
      <c r="BC14" s="242"/>
      <c r="BD14" s="241">
        <f>M14</f>
        <v>7.0634254183379513E-2</v>
      </c>
      <c r="BE14" s="241">
        <f>M14</f>
        <v>7.0634254183379513E-2</v>
      </c>
      <c r="BF14" s="241">
        <f>M14</f>
        <v>7.0634254183379513E-2</v>
      </c>
      <c r="BG14" s="267">
        <f t="shared" si="27"/>
        <v>0.21190276255013854</v>
      </c>
      <c r="BH14" s="242"/>
      <c r="BI14" s="241">
        <f>N14</f>
        <v>5.8692469874838303E-2</v>
      </c>
      <c r="BJ14" s="241">
        <f>N14</f>
        <v>5.8692469874838303E-2</v>
      </c>
      <c r="BK14" s="241">
        <f>N14</f>
        <v>5.8692469874838303E-2</v>
      </c>
      <c r="BL14" s="267">
        <f t="shared" si="51"/>
        <v>0.1760774096245149</v>
      </c>
      <c r="BM14" s="242"/>
      <c r="BN14" s="241">
        <f>P14</f>
        <v>4.6822471333682461E-2</v>
      </c>
      <c r="BO14" s="241">
        <f>P14</f>
        <v>4.6822471333682461E-2</v>
      </c>
      <c r="BP14" s="241">
        <f>P14</f>
        <v>4.6822471333682461E-2</v>
      </c>
      <c r="BQ14" s="267">
        <f t="shared" si="52"/>
        <v>0.1404674140010474</v>
      </c>
      <c r="BR14" s="242"/>
      <c r="BS14" s="241">
        <f>Q14</f>
        <v>3.9882581929784666E-2</v>
      </c>
      <c r="BT14" s="241">
        <f>Q14</f>
        <v>3.9882581929784666E-2</v>
      </c>
      <c r="BU14" s="241">
        <f>Q14</f>
        <v>3.9882581929784666E-2</v>
      </c>
      <c r="BV14" s="267">
        <f t="shared" si="53"/>
        <v>0.119647745789354</v>
      </c>
      <c r="BW14" s="242"/>
      <c r="BX14" s="241">
        <f>R14</f>
        <v>3.490677203221447E-2</v>
      </c>
      <c r="BY14" s="241">
        <f>R14</f>
        <v>3.490677203221447E-2</v>
      </c>
      <c r="BZ14" s="241">
        <f>R14</f>
        <v>3.490677203221447E-2</v>
      </c>
      <c r="CA14" s="267">
        <f t="shared" si="54"/>
        <v>0.10472031609664341</v>
      </c>
      <c r="CB14" s="242"/>
      <c r="CC14" s="241">
        <f>S14</f>
        <v>3.1877362000755236E-2</v>
      </c>
      <c r="CD14" s="241">
        <f>S14</f>
        <v>3.1877362000755236E-2</v>
      </c>
      <c r="CE14" s="241">
        <f>S14</f>
        <v>3.1877362000755236E-2</v>
      </c>
      <c r="CF14" s="267">
        <f t="shared" si="55"/>
        <v>9.5632086002265707E-2</v>
      </c>
      <c r="CG14" s="314"/>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row>
    <row r="15" spans="1:175" s="10" customFormat="1" ht="9.75" customHeight="1" x14ac:dyDescent="0.15">
      <c r="A15" s="53" t="s">
        <v>186</v>
      </c>
      <c r="B15" s="270">
        <v>0.25</v>
      </c>
      <c r="C15" s="269">
        <v>-0.01</v>
      </c>
      <c r="D15" s="118"/>
      <c r="E15" s="117"/>
      <c r="F15" s="223">
        <v>0.8</v>
      </c>
      <c r="G15" s="224">
        <v>0.5</v>
      </c>
      <c r="H15" s="225">
        <f>SUM(IF(     IF(ISBLANK(D15),B15,D15)   &gt;   0,   (     IF(ISBLANK(D15),B15,D15)   ),0))</f>
        <v>0.25</v>
      </c>
      <c r="I15" s="225">
        <f>SUM(IF(     IF(ISBLANK(D15),B15,D15)     +   (1* (IF(ISBLANK(E15),C15,E15))) &gt;   0,   (     IF(ISBLANK(D15),B15,D15)    +  (1* (IF(ISBLANK(E15),C15,E15)) )  ),0))</f>
        <v>0.24</v>
      </c>
      <c r="J15" s="439">
        <f t="shared" si="58"/>
        <v>72.297031625000017</v>
      </c>
      <c r="K15" s="225">
        <f>SUM(IF(     IF(ISBLANK(D15),B15,D15)    +   (2* (IF(ISBLANK(E15),C15,E15))) &gt;   0,   (     IF(ISBLANK(D15),B15,D15)    +  (2* (IF(ISBLANK(E15),C15,E15)) )  ),0))</f>
        <v>0.23</v>
      </c>
      <c r="L15" s="225">
        <f>SUM(IF(     IF(ISBLANK(D15),B15,D15)    +   (3* (IF(ISBLANK(E15),C15,E15))) &gt;   0,   (     IF(ISBLANK(D15),B15,D15)    +  (3* (IF(ISBLANK(E15),C15,E15)) )  ),0))</f>
        <v>0.22</v>
      </c>
      <c r="M15" s="225">
        <f>SUM(IF(     IF(ISBLANK(D15),B15,D15)     +   (4* (IF(ISBLANK(E15),C15,E15))) &gt;   0,   (     IF(ISBLANK(D15),B15,D15)   +  (4* (IF(ISBLANK(E15),C15,E15)) )  ),0))</f>
        <v>0.21</v>
      </c>
      <c r="N15" s="225">
        <f>SUM(IF(     IF(ISBLANK(D15),B15,D15)     +  (5* (IF(ISBLANK(E15),C15,E15))) &gt;   0,   (     IF(ISBLANK(D15),B15,D15)   +  (5* (IF(ISBLANK(E15),C15,E15)) )  ),0))</f>
        <v>0.2</v>
      </c>
      <c r="O15" s="439">
        <f t="shared" si="63"/>
        <v>9.3441468044006282</v>
      </c>
      <c r="P15" s="225">
        <f>SUM(IF(     IF(ISBLANK(D15),B15,D15)     +   (6* (IF(ISBLANK(E15),C15,E15))) &gt;   0,   (     IF(ISBLANK(D15),B15,D15)    +  (6* (IF(ISBLANK(E15),C15,E15)) )  ),0))</f>
        <v>0.19</v>
      </c>
      <c r="Q15" s="225">
        <f>SUM(IF(     IF(ISBLANK(D15),B15,D15)     +   (7* (IF(ISBLANK(E15),C15,E15))) &gt;   0,   (     IF(ISBLANK(D15),B15,D15)    +  (7* (IF(ISBLANK(E15),C15,E15)) )  ),0))</f>
        <v>0.18</v>
      </c>
      <c r="R15" s="225">
        <f>SUM(IF(     IF(ISBLANK(D15),B15,D15)     +   (8* (IF(ISBLANK(E15),C15,E15))) &gt;   0,   (     IF(ISBLANK(D15),B15,D15)    +  (8* (IF(ISBLANK(E15),C15,E15)) )  ),0))</f>
        <v>0.16999999999999998</v>
      </c>
      <c r="S15" s="225">
        <f>SUM(IF(     IF(ISBLANK(D15),B15,D15)     +   (9* (IF(ISBLANK(E15),C15,E15))) &gt;   0,   (     IF(ISBLANK(D15),B15,D15)   +  (9* (IF(ISBLANK(E15),C15,E15)) )  ),0))</f>
        <v>0.16</v>
      </c>
      <c r="T15" s="450">
        <f t="shared" si="68"/>
        <v>5.9217906360190113</v>
      </c>
      <c r="U15" s="270">
        <v>0.2</v>
      </c>
      <c r="V15" s="271">
        <v>0.2</v>
      </c>
      <c r="W15" s="272">
        <v>0.2</v>
      </c>
      <c r="X15" s="226"/>
      <c r="Y15" s="502">
        <v>0.7</v>
      </c>
      <c r="Z15" s="225">
        <f>F15</f>
        <v>0.8</v>
      </c>
      <c r="AA15" s="225">
        <f>F15</f>
        <v>0.8</v>
      </c>
      <c r="AB15" s="225">
        <f>F15</f>
        <v>0.8</v>
      </c>
      <c r="AC15" s="271">
        <f t="shared" si="9"/>
        <v>2.4000000000000004</v>
      </c>
      <c r="AD15" s="221"/>
      <c r="AE15" s="225">
        <f>G15</f>
        <v>0.5</v>
      </c>
      <c r="AF15" s="225">
        <f>G15</f>
        <v>0.5</v>
      </c>
      <c r="AG15" s="225">
        <f>G15</f>
        <v>0.5</v>
      </c>
      <c r="AH15" s="271">
        <f t="shared" si="10"/>
        <v>1.5</v>
      </c>
      <c r="AI15" s="221"/>
      <c r="AJ15" s="225">
        <f>H15</f>
        <v>0.25</v>
      </c>
      <c r="AK15" s="225">
        <f>H15</f>
        <v>0.25</v>
      </c>
      <c r="AL15" s="225">
        <f>H15</f>
        <v>0.25</v>
      </c>
      <c r="AM15" s="271">
        <f t="shared" si="11"/>
        <v>0.75</v>
      </c>
      <c r="AN15" s="221"/>
      <c r="AO15" s="225">
        <f>I15</f>
        <v>0.24</v>
      </c>
      <c r="AP15" s="225">
        <f>I15</f>
        <v>0.24</v>
      </c>
      <c r="AQ15" s="225">
        <f>I15</f>
        <v>0.24</v>
      </c>
      <c r="AR15" s="271">
        <f t="shared" si="15"/>
        <v>0.72</v>
      </c>
      <c r="AS15" s="221"/>
      <c r="AT15" s="225">
        <f>K15</f>
        <v>0.23</v>
      </c>
      <c r="AU15" s="225">
        <f>K15</f>
        <v>0.23</v>
      </c>
      <c r="AV15" s="225">
        <f>K15</f>
        <v>0.23</v>
      </c>
      <c r="AW15" s="271">
        <f t="shared" si="19"/>
        <v>0.69000000000000006</v>
      </c>
      <c r="AX15" s="221"/>
      <c r="AY15" s="225">
        <f>L15</f>
        <v>0.22</v>
      </c>
      <c r="AZ15" s="225">
        <f>L15</f>
        <v>0.22</v>
      </c>
      <c r="BA15" s="225">
        <f>L15</f>
        <v>0.22</v>
      </c>
      <c r="BB15" s="271">
        <f t="shared" si="23"/>
        <v>0.66</v>
      </c>
      <c r="BC15" s="221"/>
      <c r="BD15" s="225">
        <f>M15</f>
        <v>0.21</v>
      </c>
      <c r="BE15" s="225">
        <f>M15</f>
        <v>0.21</v>
      </c>
      <c r="BF15" s="225">
        <f>M15</f>
        <v>0.21</v>
      </c>
      <c r="BG15" s="271">
        <f t="shared" si="27"/>
        <v>0.63</v>
      </c>
      <c r="BH15" s="221"/>
      <c r="BI15" s="225">
        <f>N15</f>
        <v>0.2</v>
      </c>
      <c r="BJ15" s="225">
        <f>N15</f>
        <v>0.2</v>
      </c>
      <c r="BK15" s="225">
        <f>N15</f>
        <v>0.2</v>
      </c>
      <c r="BL15" s="271">
        <f t="shared" si="51"/>
        <v>0.60000000000000009</v>
      </c>
      <c r="BM15" s="221"/>
      <c r="BN15" s="225">
        <f>P15</f>
        <v>0.19</v>
      </c>
      <c r="BO15" s="225">
        <f>P15</f>
        <v>0.19</v>
      </c>
      <c r="BP15" s="225">
        <f>P15</f>
        <v>0.19</v>
      </c>
      <c r="BQ15" s="271">
        <f t="shared" si="52"/>
        <v>0.57000000000000006</v>
      </c>
      <c r="BR15" s="221"/>
      <c r="BS15" s="225">
        <f>Q15</f>
        <v>0.18</v>
      </c>
      <c r="BT15" s="225">
        <f>Q15</f>
        <v>0.18</v>
      </c>
      <c r="BU15" s="225">
        <f>Q15</f>
        <v>0.18</v>
      </c>
      <c r="BV15" s="271">
        <f t="shared" si="53"/>
        <v>0.54</v>
      </c>
      <c r="BW15" s="221"/>
      <c r="BX15" s="225">
        <f>R15</f>
        <v>0.16999999999999998</v>
      </c>
      <c r="BY15" s="225">
        <f>R15</f>
        <v>0.16999999999999998</v>
      </c>
      <c r="BZ15" s="225">
        <f>R15</f>
        <v>0.16999999999999998</v>
      </c>
      <c r="CA15" s="271">
        <f t="shared" si="54"/>
        <v>0.51</v>
      </c>
      <c r="CB15" s="221"/>
      <c r="CC15" s="225">
        <f>S15</f>
        <v>0.16</v>
      </c>
      <c r="CD15" s="225">
        <f>S15</f>
        <v>0.16</v>
      </c>
      <c r="CE15" s="225">
        <f>S15</f>
        <v>0.16</v>
      </c>
      <c r="CF15" s="271">
        <f t="shared" si="55"/>
        <v>0.48</v>
      </c>
      <c r="CG15" s="222"/>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row>
    <row r="16" spans="1:175" s="11" customFormat="1" ht="9.75" customHeight="1" x14ac:dyDescent="0.15">
      <c r="A16" s="193" t="s">
        <v>187</v>
      </c>
      <c r="B16" s="317"/>
      <c r="C16" s="318"/>
      <c r="D16" s="300"/>
      <c r="E16" s="301"/>
      <c r="F16" s="451">
        <f>SUM((F18/Y18)-1)/3</f>
        <v>0.12718361830257874</v>
      </c>
      <c r="G16" s="451">
        <f>SUM((G18/F18)-1)/3</f>
        <v>0.45881635813585042</v>
      </c>
      <c r="H16" s="451">
        <f>SUM((H18/G18)-1)/3</f>
        <v>0.29587994749985169</v>
      </c>
      <c r="I16" s="451">
        <f>SUM((I18/H18)-1)/3</f>
        <v>0.11085374872319198</v>
      </c>
      <c r="J16" s="457" t="s">
        <v>50</v>
      </c>
      <c r="K16" s="452">
        <f>SUM((K18/I18)-1)/3</f>
        <v>9.3927411661984372E-2</v>
      </c>
      <c r="L16" s="452">
        <f>SUM((L18/K18)-1)/3</f>
        <v>6.4873692415333403E-2</v>
      </c>
      <c r="M16" s="452">
        <f>SUM((M18/L18)-1)/3</f>
        <v>4.9616439384159307E-2</v>
      </c>
      <c r="N16" s="452">
        <f>SUM((N18/M18)-1)/3</f>
        <v>4.1906162000128346E-2</v>
      </c>
      <c r="O16" s="453">
        <f>SUM(O18/J18)-1</f>
        <v>0.9803287376805474</v>
      </c>
      <c r="P16" s="452">
        <f>SUM((P18/N18)-1)/3</f>
        <v>3.6989361009570031E-2</v>
      </c>
      <c r="Q16" s="452">
        <f>SUM((Q18/P18)-1)/3</f>
        <v>3.8077993880299678E-2</v>
      </c>
      <c r="R16" s="452">
        <f>SUM((R18/Q18)-1)/3</f>
        <v>4.0085579971906947E-2</v>
      </c>
      <c r="S16" s="452">
        <f>SUM((S18/R18)-1)/3</f>
        <v>4.2942144655834159E-2</v>
      </c>
      <c r="T16" s="454">
        <f>SUM(T18/O18)-1</f>
        <v>0.56539058678727327</v>
      </c>
      <c r="U16" s="455">
        <f>SUM(U18/T18)-1</f>
        <v>1.8514641755006056</v>
      </c>
      <c r="V16" s="453">
        <f>SUM(V18/U18)-1</f>
        <v>0.94441082954045008</v>
      </c>
      <c r="W16" s="456">
        <f>SUM(W18/V18)-1</f>
        <v>0.45237804837556883</v>
      </c>
      <c r="X16" s="462"/>
      <c r="Y16" s="503">
        <v>0</v>
      </c>
      <c r="Z16" s="452">
        <f>SUM((Z18/Y18)-1)</f>
        <v>0.30429444444444465</v>
      </c>
      <c r="AA16" s="452">
        <f t="shared" ref="AA16:AB16" si="105">SUM((AA18/Z18)-1)</f>
        <v>4.8958415362925001E-2</v>
      </c>
      <c r="AB16" s="452">
        <f t="shared" si="105"/>
        <v>9.794404919622135E-3</v>
      </c>
      <c r="AC16" s="453">
        <f t="shared" si="9"/>
        <v>0.36304726472699178</v>
      </c>
      <c r="AD16" s="458"/>
      <c r="AE16" s="452">
        <f>SUM((AE18/AB18)-1)</f>
        <v>0.6886253960025317</v>
      </c>
      <c r="AF16" s="452">
        <f>SUM((AF18/AE18)-1)</f>
        <v>0.25182333436416404</v>
      </c>
      <c r="AG16" s="452">
        <f>SUM((AG18/AF18)-1)</f>
        <v>0.12422218926569939</v>
      </c>
      <c r="AH16" s="453">
        <f t="shared" si="10"/>
        <v>1.0646709196323951</v>
      </c>
      <c r="AI16" s="458"/>
      <c r="AJ16" s="452">
        <f>SUM((AJ18/AG18)-1)</f>
        <v>0.33663897286303301</v>
      </c>
      <c r="AK16" s="452">
        <f>SUM((AK18/AJ18)-1)</f>
        <v>0.22001981707464591</v>
      </c>
      <c r="AL16" s="452">
        <f>SUM((AL18/AK18)-1)</f>
        <v>0.15754565867712622</v>
      </c>
      <c r="AM16" s="453">
        <f t="shared" si="11"/>
        <v>0.71420444861480514</v>
      </c>
      <c r="AN16" s="458"/>
      <c r="AO16" s="452">
        <f>SUM((AO18/AL18)-1)</f>
        <v>0.12735271610450072</v>
      </c>
      <c r="AP16" s="452">
        <f>SUM((AP18/AO18)-1)</f>
        <v>9.7637716427365406E-2</v>
      </c>
      <c r="AQ16" s="452">
        <f>SUM((AQ18/AP18)-1)</f>
        <v>7.6882555265812336E-2</v>
      </c>
      <c r="AR16" s="453">
        <f t="shared" si="15"/>
        <v>0.30187298779767846</v>
      </c>
      <c r="AS16" s="458"/>
      <c r="AT16" s="452">
        <f>SUM((AT18/AQ18)-1)</f>
        <v>0.10740669042150319</v>
      </c>
      <c r="AU16" s="452">
        <f>SUM((AU18/AT18)-1)</f>
        <v>8.4260614089413766E-2</v>
      </c>
      <c r="AV16" s="452">
        <f>SUM((AV18/AU18)-1)</f>
        <v>6.7513615487960754E-2</v>
      </c>
      <c r="AW16" s="453">
        <f t="shared" si="19"/>
        <v>0.25918091999887771</v>
      </c>
      <c r="AX16" s="458"/>
      <c r="AY16" s="452">
        <f>SUM((AY18/AV18)-1)</f>
        <v>7.4580543148430545E-2</v>
      </c>
      <c r="AZ16" s="452">
        <f>SUM((AZ18/AY18)-1)</f>
        <v>5.9941073240774134E-2</v>
      </c>
      <c r="BA16" s="452">
        <f>SUM((BA18/AZ18)-1)</f>
        <v>4.8840571673028688E-2</v>
      </c>
      <c r="BB16" s="453">
        <f t="shared" si="23"/>
        <v>0.18336218806223337</v>
      </c>
      <c r="BC16" s="458"/>
      <c r="BD16" s="452">
        <f>SUM((BD18/BA18)-1)</f>
        <v>5.7220564645898309E-2</v>
      </c>
      <c r="BE16" s="452">
        <f>SUM((BE18/BD18)-1)</f>
        <v>4.6580609217026225E-2</v>
      </c>
      <c r="BF16" s="452">
        <f>SUM((BF18/BE18)-1)</f>
        <v>3.8304615544993093E-2</v>
      </c>
      <c r="BG16" s="453">
        <f t="shared" si="27"/>
        <v>0.14210578940791763</v>
      </c>
      <c r="BH16" s="458"/>
      <c r="BI16" s="452">
        <f>SUM((BI18/BF18)-1)</f>
        <v>4.8426924407641625E-2</v>
      </c>
      <c r="BJ16" s="452">
        <f>SUM((BJ18/BI18)-1)</f>
        <v>3.9663074612028781E-2</v>
      </c>
      <c r="BK16" s="452">
        <f>SUM((BK18/BJ18)-1)</f>
        <v>3.2759058519167494E-2</v>
      </c>
      <c r="BL16" s="453">
        <f>SUM(BI16:BK16)</f>
        <v>0.1208490575388379</v>
      </c>
      <c r="BM16" s="458"/>
      <c r="BN16" s="452">
        <f>SUM((BN18/BK18)-1)</f>
        <v>4.2828825554844574E-2</v>
      </c>
      <c r="BO16" s="452">
        <f>SUM((BO18/BN18)-1)</f>
        <v>3.5189572110932321E-2</v>
      </c>
      <c r="BP16" s="452">
        <f>SUM((BP18/BO18)-1)</f>
        <v>2.9126274987276268E-2</v>
      </c>
      <c r="BQ16" s="453">
        <f>SUM(BN16:BP16)</f>
        <v>0.10714467265305316</v>
      </c>
      <c r="BR16" s="458"/>
      <c r="BS16" s="452">
        <f>SUM((BS18/BP18)-1)</f>
        <v>4.3948306323991382E-2</v>
      </c>
      <c r="BT16" s="452">
        <f>SUM((BT18/BS18)-1)</f>
        <v>3.6199477392117707E-2</v>
      </c>
      <c r="BU16" s="452">
        <f>SUM((BU18/BT18)-1)</f>
        <v>3.0039872402544798E-2</v>
      </c>
      <c r="BV16" s="453">
        <f>SUM(BS16:BU16)</f>
        <v>0.11018765611865389</v>
      </c>
      <c r="BW16" s="458"/>
      <c r="BX16" s="452">
        <f>SUM((BX18/BU18)-1)</f>
        <v>4.6022999526474706E-2</v>
      </c>
      <c r="BY16" s="452">
        <f>SUM((BY18/BX18)-1)</f>
        <v>3.8054233967802942E-2</v>
      </c>
      <c r="BZ16" s="452">
        <f>SUM((BZ18/BY18)-1)</f>
        <v>3.1706787166066119E-2</v>
      </c>
      <c r="CA16" s="453">
        <f t="shared" si="54"/>
        <v>0.11578402066034377</v>
      </c>
      <c r="CB16" s="458"/>
      <c r="CC16" s="452">
        <f>SUM((CC18/BZ18)-1)</f>
        <v>4.8945330259110742E-2</v>
      </c>
      <c r="CD16" s="452">
        <f>SUM((CD18/CC18)-1)</f>
        <v>4.0683078705377129E-2</v>
      </c>
      <c r="CE16" s="452">
        <f>SUM((CE18/CD18)-1)</f>
        <v>3.4084012765768446E-2</v>
      </c>
      <c r="CF16" s="453">
        <f t="shared" si="55"/>
        <v>0.12371242173025632</v>
      </c>
      <c r="CG16" s="113"/>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row>
    <row r="17" spans="1:175" s="11" customFormat="1" ht="9.75" customHeight="1" x14ac:dyDescent="0.15">
      <c r="A17" s="54" t="s">
        <v>188</v>
      </c>
      <c r="B17" s="319"/>
      <c r="C17" s="320"/>
      <c r="D17" s="204"/>
      <c r="E17" s="205"/>
      <c r="F17" s="99">
        <f>AC17</f>
        <v>572.32628236160394</v>
      </c>
      <c r="G17" s="36">
        <f>AH17</f>
        <v>2852.451593227071</v>
      </c>
      <c r="H17" s="36">
        <f>AM17</f>
        <v>4371.4290578328255</v>
      </c>
      <c r="I17" s="36">
        <f>AR17</f>
        <v>3091.5581624289075</v>
      </c>
      <c r="J17" s="191">
        <f>SUM(J18-Y18)</f>
        <v>10887.765095850407</v>
      </c>
      <c r="K17" s="36">
        <f>AW17</f>
        <v>3490.6521351897063</v>
      </c>
      <c r="L17" s="36">
        <f>BB17</f>
        <v>3090.2746664664778</v>
      </c>
      <c r="M17" s="36">
        <f>BG17</f>
        <v>2823.4768551882862</v>
      </c>
      <c r="N17" s="36">
        <f>BL17</f>
        <v>2739.6784622537016</v>
      </c>
      <c r="O17" s="191">
        <f>SUM(O18-J18)</f>
        <v>12144.082119098175</v>
      </c>
      <c r="P17" s="36">
        <f>BQ17</f>
        <v>2722.2520585960401</v>
      </c>
      <c r="Q17" s="36">
        <f>BV17</f>
        <v>3113.3442760533399</v>
      </c>
      <c r="R17" s="36">
        <f>CA17</f>
        <v>3651.8897608493353</v>
      </c>
      <c r="S17" s="36">
        <f>CF17</f>
        <v>4382.5893963368071</v>
      </c>
      <c r="T17" s="192">
        <f>SUM(T18-O18)</f>
        <v>13870.075491835516</v>
      </c>
      <c r="U17" s="197">
        <f>SUM((U8+(T18*U14))-(T18*U15))</f>
        <v>71099.784161953998</v>
      </c>
      <c r="V17" s="191">
        <f>SUM((V8+(U18*V14))-(U18*V15))</f>
        <v>103414.59782000014</v>
      </c>
      <c r="W17" s="198">
        <f>SUM((W8+(V18*W14))-(V18*W15))</f>
        <v>96318.662382429437</v>
      </c>
      <c r="X17" s="175"/>
      <c r="Y17" s="507">
        <v>1500</v>
      </c>
      <c r="Z17" s="36">
        <f>SUM((Z8+(Y18*Z14))-(Y18*Z15))</f>
        <v>456.44166666666683</v>
      </c>
      <c r="AA17" s="36">
        <f>SUM((AA8+(Z18*AA14))-(Z18*AA15))</f>
        <v>95.784283749999759</v>
      </c>
      <c r="AB17" s="36">
        <f>SUM((AB8+(AA18*AB14))-(AA18*AB15))</f>
        <v>20.100331944937352</v>
      </c>
      <c r="AC17" s="191">
        <f t="shared" si="9"/>
        <v>572.32628236160394</v>
      </c>
      <c r="AD17" s="191"/>
      <c r="AE17" s="36">
        <f>SUM((AE8+(AB18*AE14))-(AB18*AE15))</f>
        <v>1427.0565068377141</v>
      </c>
      <c r="AF17" s="36">
        <f>SUM((AF8+(AE18*AF14))-(AE18*AF15))</f>
        <v>881.22624219274098</v>
      </c>
      <c r="AG17" s="36">
        <f>SUM((AG8+(AF18*AG14))-(AF18*AG15))</f>
        <v>544.16884419661574</v>
      </c>
      <c r="AH17" s="191">
        <f t="shared" si="10"/>
        <v>2852.451593227071</v>
      </c>
      <c r="AI17" s="191"/>
      <c r="AJ17" s="36">
        <f>SUM((AJ8+(AG18*AJ14))-(AG18*AJ15))</f>
        <v>1657.8721656167613</v>
      </c>
      <c r="AK17" s="36">
        <f>SUM((AK8+(AJ18*AK14))-(AJ18*AK15))</f>
        <v>1448.313457932431</v>
      </c>
      <c r="AL17" s="36">
        <f>SUM((AL8+(AK18*AL14))-(AK18*AL15))</f>
        <v>1265.2434342836336</v>
      </c>
      <c r="AM17" s="191">
        <f t="shared" si="11"/>
        <v>4371.4290578328255</v>
      </c>
      <c r="AN17" s="191"/>
      <c r="AO17" s="36">
        <f>SUM((AO8+(AL18*AO14))-(AL18*AO15))</f>
        <v>1183.8972024407203</v>
      </c>
      <c r="AP17" s="36">
        <f>SUM((AP8+(AO18*AP14))-(AO18*AP15))</f>
        <v>1023.2534357465743</v>
      </c>
      <c r="AQ17" s="36">
        <f>SUM((AQ8+(AP18*AQ14))-(AP18*AQ15))</f>
        <v>884.40752424161292</v>
      </c>
      <c r="AR17" s="191">
        <f t="shared" si="15"/>
        <v>3091.5581624289075</v>
      </c>
      <c r="AS17" s="191"/>
      <c r="AT17" s="36">
        <f>SUM((AT8+(AQ18*AT14))-(AQ18*AT15))</f>
        <v>1330.5288506643069</v>
      </c>
      <c r="AU17" s="36">
        <f>SUM((AU8+(AT18*AU14))-(AT18*AU15))</f>
        <v>1155.9118721924183</v>
      </c>
      <c r="AV17" s="36">
        <f>SUM((AV8+(AU18*AV14))-(AU18*AV15))</f>
        <v>1004.2114123329811</v>
      </c>
      <c r="AW17" s="191">
        <f t="shared" si="19"/>
        <v>3490.6521351897063</v>
      </c>
      <c r="AX17" s="191"/>
      <c r="AY17" s="36">
        <f>SUM((AY8+(AV18*AY14))-(AV18*AY15))</f>
        <v>1184.2209814283674</v>
      </c>
      <c r="AZ17" s="36">
        <f>SUM((AZ8+(AY18*AZ14))-(AY18*AZ15))</f>
        <v>1022.7528467744032</v>
      </c>
      <c r="BA17" s="36">
        <f>SUM((BA8+(AZ18*BA14))-(AZ18*BA15))</f>
        <v>883.30083826370719</v>
      </c>
      <c r="BB17" s="191">
        <f t="shared" si="23"/>
        <v>3090.2746664664778</v>
      </c>
      <c r="BC17" s="191"/>
      <c r="BD17" s="36">
        <f>SUM((BD8+(BA18*BD14))-(BA18*BD15))</f>
        <v>1085.3992609694014</v>
      </c>
      <c r="BE17" s="36">
        <f>SUM((BE8+(BD18*BE14))-(BD18*BE15))</f>
        <v>934.13178345559118</v>
      </c>
      <c r="BF17" s="36">
        <f>SUM((BF8+(BE18*BF14))-(BE18*BF15))</f>
        <v>803.94581076329359</v>
      </c>
      <c r="BG17" s="191">
        <f t="shared" si="27"/>
        <v>2823.4768551882862</v>
      </c>
      <c r="BH17" s="191"/>
      <c r="BI17" s="36">
        <f>SUM((BI8+(BF18*BI14))-(BF18*BI15))</f>
        <v>1055.3277088653285</v>
      </c>
      <c r="BJ17" s="36">
        <f>SUM((BJ8+(BI18*BJ14))-(BI18*BJ15))</f>
        <v>906.20195685292401</v>
      </c>
      <c r="BK17" s="36">
        <f>SUM((BK8+(BJ18*BK14))-(BJ18*BK15))</f>
        <v>778.14879653544904</v>
      </c>
      <c r="BL17" s="191">
        <f>SUM(BI17:BK17)</f>
        <v>2739.6784622537016</v>
      </c>
      <c r="BM17" s="191"/>
      <c r="BN17" s="36">
        <f>SUM((BN8+(BK18*BN14))-(BK18*BN15))</f>
        <v>1050.6702049071309</v>
      </c>
      <c r="BO17" s="36">
        <f>SUM((BO8+(BN18*BO14))-(BN18*BO15))</f>
        <v>900.23784152519329</v>
      </c>
      <c r="BP17" s="36">
        <f>SUM((BP8+(BO18*BP14))-(BO18*BP15))</f>
        <v>771.34401216371589</v>
      </c>
      <c r="BQ17" s="191">
        <f>SUM(BN17:BP17)</f>
        <v>2722.2520585960401</v>
      </c>
      <c r="BR17" s="191"/>
      <c r="BS17" s="36">
        <f>SUM((BS8+(BP18*BS14))-(BP18*BS15))</f>
        <v>1197.7715034582116</v>
      </c>
      <c r="BT17" s="36">
        <f>SUM((BT8+(BS18*BT14))-(BS18*BT15))</f>
        <v>1029.9428529555671</v>
      </c>
      <c r="BU17" s="36">
        <f>SUM((BU8+(BT18*BU14))-(BT18*BU15))</f>
        <v>885.62991963956119</v>
      </c>
      <c r="BV17" s="191">
        <f>SUM(BS17:BU17)</f>
        <v>3113.3442760533399</v>
      </c>
      <c r="BW17" s="191"/>
      <c r="BX17" s="36">
        <f>SUM((BX8+(BU18*BX14))-(BU18*BX15))</f>
        <v>1397.6008401033969</v>
      </c>
      <c r="BY17" s="36">
        <f>SUM((BY8+(BX18*BY14))-(BX18*BY15))</f>
        <v>1208.7944312033405</v>
      </c>
      <c r="BZ17" s="36">
        <f>SUM((BZ8+(BY18*BZ14))-(BY18*BZ15))</f>
        <v>1045.4944895425979</v>
      </c>
      <c r="CA17" s="191">
        <f>SUM(BX17:BZ17)</f>
        <v>3651.8897608493353</v>
      </c>
      <c r="CB17" s="191"/>
      <c r="CC17" s="36">
        <f>SUM((CC8+(BZ18*CC14))-(BZ18*CC15))</f>
        <v>1665.0875040746123</v>
      </c>
      <c r="CD17" s="36">
        <f>SUM((CD8+(CC18*CD14))-(CC18*CD15))</f>
        <v>1451.7521005529943</v>
      </c>
      <c r="CE17" s="36">
        <f>SUM((CE8+(CD18*CE14))-(CD18*CE15))</f>
        <v>1265.7497917092005</v>
      </c>
      <c r="CF17" s="191">
        <f>SUM(CC17:CE17)</f>
        <v>4382.5893963368071</v>
      </c>
      <c r="CG17" s="198"/>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row>
    <row r="18" spans="1:175" s="9" customFormat="1" ht="9.75" customHeight="1" x14ac:dyDescent="0.15">
      <c r="A18" s="52" t="s">
        <v>189</v>
      </c>
      <c r="B18" s="321"/>
      <c r="C18" s="322"/>
      <c r="D18" s="202"/>
      <c r="E18" s="203"/>
      <c r="F18" s="99">
        <f>AC18</f>
        <v>2072.3262823616042</v>
      </c>
      <c r="G18" s="36">
        <f>AH18</f>
        <v>4924.7778755886757</v>
      </c>
      <c r="H18" s="36">
        <f>AM18</f>
        <v>9296.2069334215012</v>
      </c>
      <c r="I18" s="36">
        <f>AR18</f>
        <v>12387.765095850407</v>
      </c>
      <c r="J18" s="191">
        <f>AQ18</f>
        <v>12387.765095850407</v>
      </c>
      <c r="K18" s="36">
        <f>AW18</f>
        <v>15878.417231040114</v>
      </c>
      <c r="L18" s="36">
        <f>BB18</f>
        <v>18968.691897506593</v>
      </c>
      <c r="M18" s="36">
        <f>BG18</f>
        <v>21792.168752694881</v>
      </c>
      <c r="N18" s="36">
        <f>BL18</f>
        <v>24531.847214948582</v>
      </c>
      <c r="O18" s="191">
        <f>BK18</f>
        <v>24531.847214948582</v>
      </c>
      <c r="P18" s="36">
        <f>BQ18</f>
        <v>27254.099273544627</v>
      </c>
      <c r="Q18" s="36">
        <f>BV18</f>
        <v>30367.443549597963</v>
      </c>
      <c r="R18" s="36">
        <f>CA18</f>
        <v>34019.333310447299</v>
      </c>
      <c r="S18" s="36">
        <f>CF18</f>
        <v>38401.922706784098</v>
      </c>
      <c r="T18" s="192">
        <f>CE18</f>
        <v>38401.922706784098</v>
      </c>
      <c r="U18" s="197">
        <f>SUM(T18+U17)</f>
        <v>109501.7068687381</v>
      </c>
      <c r="V18" s="191">
        <f>SUM(U18+V17)</f>
        <v>212916.30468873825</v>
      </c>
      <c r="W18" s="198">
        <f>SUM(V18+W17)</f>
        <v>309234.96707116766</v>
      </c>
      <c r="X18" s="175"/>
      <c r="Y18" s="508">
        <v>1500</v>
      </c>
      <c r="Z18" s="36">
        <f>SUM(Y18+Z17)</f>
        <v>1956.4416666666668</v>
      </c>
      <c r="AA18" s="36">
        <f>SUM(Z18+AA17)</f>
        <v>2052.2259504166668</v>
      </c>
      <c r="AB18" s="36">
        <f>SUM(AA18+AB17)</f>
        <v>2072.3262823616042</v>
      </c>
      <c r="AC18" s="191">
        <f>AB18</f>
        <v>2072.3262823616042</v>
      </c>
      <c r="AD18" s="191"/>
      <c r="AE18" s="36">
        <f>SUM(AB18+AE17)</f>
        <v>3499.3827891993183</v>
      </c>
      <c r="AF18" s="36">
        <f>SUM(AE18+AF17)</f>
        <v>4380.6090313920595</v>
      </c>
      <c r="AG18" s="36">
        <f>SUM(AF18+AG17)</f>
        <v>4924.7778755886757</v>
      </c>
      <c r="AH18" s="191">
        <f>AG18</f>
        <v>4924.7778755886757</v>
      </c>
      <c r="AI18" s="191"/>
      <c r="AJ18" s="36">
        <f>SUM(AG18+AJ17)</f>
        <v>6582.6500412054374</v>
      </c>
      <c r="AK18" s="36">
        <f>SUM(AJ18+AK17)</f>
        <v>8030.963499137868</v>
      </c>
      <c r="AL18" s="36">
        <f>SUM(AK18+AL17)</f>
        <v>9296.2069334215012</v>
      </c>
      <c r="AM18" s="191">
        <f>AL18</f>
        <v>9296.2069334215012</v>
      </c>
      <c r="AN18" s="191"/>
      <c r="AO18" s="36">
        <f>SUM(AL18+AO17)</f>
        <v>10480.104135862221</v>
      </c>
      <c r="AP18" s="36">
        <f>SUM(AO18+AP17)</f>
        <v>11503.357571608794</v>
      </c>
      <c r="AQ18" s="36">
        <f>SUM(AP18+AQ17)</f>
        <v>12387.765095850407</v>
      </c>
      <c r="AR18" s="191">
        <f>AQ18</f>
        <v>12387.765095850407</v>
      </c>
      <c r="AS18" s="191"/>
      <c r="AT18" s="36">
        <f>SUM(AQ18+AT17)</f>
        <v>13718.293946514714</v>
      </c>
      <c r="AU18" s="36">
        <f>SUM(AT18+AU17)</f>
        <v>14874.205818707132</v>
      </c>
      <c r="AV18" s="36">
        <f>SUM(AU18+AV17)</f>
        <v>15878.417231040114</v>
      </c>
      <c r="AW18" s="191">
        <f>AV18</f>
        <v>15878.417231040114</v>
      </c>
      <c r="AX18" s="191"/>
      <c r="AY18" s="36">
        <f>SUM(AV18+AY17)</f>
        <v>17062.638212468482</v>
      </c>
      <c r="AZ18" s="36">
        <f>SUM(AY18+AZ17)</f>
        <v>18085.391059242887</v>
      </c>
      <c r="BA18" s="36">
        <f>SUM(AZ18+BA17)</f>
        <v>18968.691897506593</v>
      </c>
      <c r="BB18" s="191">
        <f>BA18</f>
        <v>18968.691897506593</v>
      </c>
      <c r="BC18" s="191"/>
      <c r="BD18" s="36">
        <f>SUM(BA18+BD17)</f>
        <v>20054.091158475996</v>
      </c>
      <c r="BE18" s="36">
        <f>SUM(BD18+BE17)</f>
        <v>20988.222941931588</v>
      </c>
      <c r="BF18" s="36">
        <f>SUM(BE18+BF17)</f>
        <v>21792.168752694881</v>
      </c>
      <c r="BG18" s="191">
        <f>BF18</f>
        <v>21792.168752694881</v>
      </c>
      <c r="BH18" s="191"/>
      <c r="BI18" s="36">
        <f>SUM(BF18+BI17)</f>
        <v>22847.496461560208</v>
      </c>
      <c r="BJ18" s="36">
        <f>SUM(BI18+BJ17)</f>
        <v>23753.698418413132</v>
      </c>
      <c r="BK18" s="36">
        <f>SUM(BJ18+BK17)</f>
        <v>24531.847214948582</v>
      </c>
      <c r="BL18" s="191">
        <f>BK18</f>
        <v>24531.847214948582</v>
      </c>
      <c r="BM18" s="191"/>
      <c r="BN18" s="36">
        <f>SUM(BL18+BN17)</f>
        <v>25582.517419855714</v>
      </c>
      <c r="BO18" s="36">
        <f>SUM(BN18+BO17)</f>
        <v>26482.755261380909</v>
      </c>
      <c r="BP18" s="36">
        <f>SUM(BO18+BP17)</f>
        <v>27254.099273544627</v>
      </c>
      <c r="BQ18" s="191">
        <f>BP18</f>
        <v>27254.099273544627</v>
      </c>
      <c r="BR18" s="191"/>
      <c r="BS18" s="36">
        <f>SUM(BP18+BS17)</f>
        <v>28451.870777002838</v>
      </c>
      <c r="BT18" s="36">
        <f>SUM(BS18+BT17)</f>
        <v>29481.813629958404</v>
      </c>
      <c r="BU18" s="36">
        <f>SUM(BT18+BU17)</f>
        <v>30367.443549597963</v>
      </c>
      <c r="BV18" s="191">
        <f>BU18</f>
        <v>30367.443549597963</v>
      </c>
      <c r="BW18" s="191"/>
      <c r="BX18" s="36">
        <f>SUM(BU18+BX17)</f>
        <v>31765.044389701361</v>
      </c>
      <c r="BY18" s="36">
        <f>SUM(BX18+BY17)</f>
        <v>32973.838820904704</v>
      </c>
      <c r="BZ18" s="36">
        <f>SUM(BY18+BZ17)</f>
        <v>34019.333310447299</v>
      </c>
      <c r="CA18" s="191">
        <f>BZ18</f>
        <v>34019.333310447299</v>
      </c>
      <c r="CB18" s="191"/>
      <c r="CC18" s="36">
        <f>SUM(BZ18+CC17)</f>
        <v>35684.420814521909</v>
      </c>
      <c r="CD18" s="36">
        <f>SUM(CC18+CD17)</f>
        <v>37136.172915074902</v>
      </c>
      <c r="CE18" s="36">
        <f>SUM(CD18+CE17)</f>
        <v>38401.922706784098</v>
      </c>
      <c r="CF18" s="191">
        <f>CE18</f>
        <v>38401.922706784098</v>
      </c>
      <c r="CG18" s="198"/>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5"/>
      <c r="B19" s="160"/>
      <c r="C19" s="323"/>
      <c r="D19" s="40"/>
      <c r="E19" s="42"/>
      <c r="F19" s="64"/>
      <c r="G19" s="31"/>
      <c r="H19" s="31"/>
      <c r="I19" s="31"/>
      <c r="J19" s="30"/>
      <c r="K19" s="31"/>
      <c r="L19" s="31"/>
      <c r="M19" s="31"/>
      <c r="N19" s="31"/>
      <c r="O19" s="30"/>
      <c r="P19" s="31"/>
      <c r="Q19" s="31"/>
      <c r="R19" s="31"/>
      <c r="S19" s="31"/>
      <c r="T19" s="108"/>
      <c r="U19" s="160"/>
      <c r="V19" s="31"/>
      <c r="W19" s="65"/>
      <c r="X19" s="169"/>
      <c r="Y19" s="64"/>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56" t="s">
        <v>190</v>
      </c>
      <c r="B20" s="292"/>
      <c r="C20" s="324"/>
      <c r="D20" s="302"/>
      <c r="E20" s="303"/>
      <c r="F20" s="100"/>
      <c r="G20" s="76"/>
      <c r="H20" s="76"/>
      <c r="I20" s="76"/>
      <c r="J20" s="275"/>
      <c r="K20" s="76"/>
      <c r="L20" s="76"/>
      <c r="M20" s="76"/>
      <c r="N20" s="76"/>
      <c r="O20" s="275"/>
      <c r="P20" s="76"/>
      <c r="Q20" s="76"/>
      <c r="R20" s="76"/>
      <c r="S20" s="76"/>
      <c r="T20" s="273"/>
      <c r="U20" s="274"/>
      <c r="V20" s="275"/>
      <c r="W20" s="276"/>
      <c r="X20" s="176"/>
      <c r="Y20" s="505"/>
      <c r="Z20" s="71"/>
      <c r="AA20" s="71"/>
      <c r="AB20" s="71"/>
      <c r="AC20" s="285"/>
      <c r="AD20" s="72"/>
      <c r="AE20" s="71"/>
      <c r="AF20" s="71"/>
      <c r="AG20" s="71"/>
      <c r="AH20" s="285"/>
      <c r="AI20" s="72"/>
      <c r="AJ20" s="71"/>
      <c r="AK20" s="71"/>
      <c r="AL20" s="71"/>
      <c r="AM20" s="285"/>
      <c r="AN20" s="72"/>
      <c r="AO20" s="71"/>
      <c r="AP20" s="71"/>
      <c r="AQ20" s="71"/>
      <c r="AR20" s="285"/>
      <c r="AS20" s="72"/>
      <c r="AT20" s="71"/>
      <c r="AU20" s="71"/>
      <c r="AV20" s="71"/>
      <c r="AW20" s="285"/>
      <c r="AX20" s="72"/>
      <c r="AY20" s="71"/>
      <c r="AZ20" s="71"/>
      <c r="BA20" s="71"/>
      <c r="BB20" s="285"/>
      <c r="BC20" s="72"/>
      <c r="BD20" s="71"/>
      <c r="BE20" s="71"/>
      <c r="BF20" s="71"/>
      <c r="BG20" s="285"/>
      <c r="BH20" s="72"/>
      <c r="BI20" s="71"/>
      <c r="BJ20" s="71"/>
      <c r="BK20" s="71"/>
      <c r="BL20" s="285"/>
      <c r="BM20" s="72"/>
      <c r="BN20" s="71"/>
      <c r="BO20" s="71"/>
      <c r="BP20" s="71"/>
      <c r="BQ20" s="285"/>
      <c r="BR20" s="72"/>
      <c r="BS20" s="71"/>
      <c r="BT20" s="71"/>
      <c r="BU20" s="71"/>
      <c r="BV20" s="285"/>
      <c r="BW20" s="72"/>
      <c r="BX20" s="71"/>
      <c r="BY20" s="71"/>
      <c r="BZ20" s="71"/>
      <c r="CA20" s="285"/>
      <c r="CB20" s="72"/>
      <c r="CC20" s="71"/>
      <c r="CD20" s="71"/>
      <c r="CE20" s="71"/>
      <c r="CF20" s="285"/>
      <c r="CG20" s="89"/>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57" t="s">
        <v>191</v>
      </c>
      <c r="B21" s="367">
        <v>0.2</v>
      </c>
      <c r="C21" s="374">
        <v>0.06</v>
      </c>
      <c r="D21" s="121"/>
      <c r="E21" s="120"/>
      <c r="F21" s="129">
        <v>0</v>
      </c>
      <c r="G21" s="128">
        <v>0</v>
      </c>
      <c r="H21" s="33">
        <f>SUM(IF(ISBLANK(D21),B21,D21))</f>
        <v>0.2</v>
      </c>
      <c r="I21" s="33">
        <f>SUM(IF((1*(IF(ISBLANK(E21),C21,E21)))+IF(ISBLANK(D21),B21,D21) &lt; 0, 0, (1*(IF(ISBLANK(E21),C21,E21)))+IF(ISBLANK(D21),B21,D21)))</f>
        <v>0.26</v>
      </c>
      <c r="J21" s="282">
        <f>SUM(AC21+AH21+AM21+AR21)</f>
        <v>13718.483063616532</v>
      </c>
      <c r="K21" s="33">
        <f>SUM(IF((2*(IF(ISBLANK(E21),C21,E21)))+IF(ISBLANK(D21),B21,D21) &lt; 0, 0, (2*(IF(ISBLANK(E21),C21,E21)))+IF(ISBLANK(D21),B21,D21)))</f>
        <v>0.32</v>
      </c>
      <c r="L21" s="33">
        <f>SUM(IF((3*(IF(ISBLANK(E21),C21,E21)))+IF(ISBLANK(D21),B21,D21) &lt; 0, 0, (3*(IF(ISBLANK(E21),C21,E21)))+IF(ISBLANK(D21),B21,D21)))</f>
        <v>0.38</v>
      </c>
      <c r="M21" s="33">
        <f>SUM(IF((4*(IF(ISBLANK(E21),C21,E21)))+IF(ISBLANK(D21),B21,D21) &lt; 0, 0, (4*(IF(ISBLANK(E21),C21,E21)))+IF(ISBLANK(D21),B21,D21)))</f>
        <v>0.44</v>
      </c>
      <c r="N21" s="33">
        <f>SUM(IF((5*(IF(ISBLANK(E21),C21,E21)))+IF(ISBLANK(D21),B21,D21) &lt; 0, 0, (5*(IF(ISBLANK(E21),C21,E21)))+IF(ISBLANK(D21),B21,D21)))</f>
        <v>0.5</v>
      </c>
      <c r="O21" s="282">
        <f>SUM(AW21+BB21+BG21+BL21)</f>
        <v>98008.740985932702</v>
      </c>
      <c r="P21" s="33">
        <f>SUM(IF((6*(IF(ISBLANK(E21),C21,E21)))+IF(ISBLANK(D21),B21,D21) &lt; 0, 0, (6*(IF(ISBLANK(E21),C21,E21)))+IF(ISBLANK(D21),B21,D21)))</f>
        <v>0.56000000000000005</v>
      </c>
      <c r="Q21" s="33">
        <f>SUM(IF((7*(IF(ISBLANK(E21),C21,E21)))+IF(ISBLANK(D21),B21,D21) &lt; 0, 0, (7*(IF(ISBLANK(E21),C21,E21)))+IF(ISBLANK(D21),B21,D21)))</f>
        <v>0.62</v>
      </c>
      <c r="R21" s="33">
        <f>SUM(IF((8*(IF(ISBLANK(E21),C21,E21)))+IF(ISBLANK(D21),B21,D21) &lt; 0, 0, (8*(IF(ISBLANK(E21),C21,E21)))+IF(ISBLANK(D21),B21,D21)))</f>
        <v>0.67999999999999994</v>
      </c>
      <c r="S21" s="33">
        <f>SUM(IF((9*(IF(ISBLANK(E21),C21,E21)))+IF(ISBLANK(D21),B21,D21) &lt; 0, 0, (9*(IF(ISBLANK(E21),C21,E21)))+IF(ISBLANK(D21),B21,D21)))</f>
        <v>0.74</v>
      </c>
      <c r="T21" s="305">
        <f>SUM(BQ21+BV21+CA21+CF21)</f>
        <v>248625.79702498234</v>
      </c>
      <c r="U21" s="278">
        <f>SUM(IF((11*(IF(ISBLANK(E21),C21,E21)))+IF(ISBLANK(D21),B21,D21) &lt; 0, 0, (11*(IF(ISBLANK(E21),C21,E21)))+IF(ISBLANK(D21),B21,D21)))*12</f>
        <v>10.319999999999999</v>
      </c>
      <c r="V21" s="279">
        <f>SUM(IF((13*(IF(ISBLANK(E21),C21,E21)))+IF(ISBLANK(D21),B21,D21) &lt; 0, 0, (13*(IF(ISBLANK(E21),C21,E21)))+IF(ISBLANK(D21),B21,D21)))*12</f>
        <v>11.76</v>
      </c>
      <c r="W21" s="280">
        <f>SUM(IF((15*(IF(ISBLANK(E21),C21,E21)))+IF(ISBLANK(D21),B21,D21) &lt; 0, 0, (15*(IF(ISBLANK(E21),C21,E21)))+IF(ISBLANK(D21),B21,D21)))*12</f>
        <v>13.2</v>
      </c>
      <c r="X21" s="177"/>
      <c r="Y21" s="505">
        <v>0</v>
      </c>
      <c r="Z21" s="73">
        <f>SUM(Z18*F21)</f>
        <v>0</v>
      </c>
      <c r="AA21" s="73">
        <f>SUM(AA18*F21)</f>
        <v>0</v>
      </c>
      <c r="AB21" s="73">
        <f>SUM(AB18*F21)</f>
        <v>0</v>
      </c>
      <c r="AC21" s="282">
        <f t="shared" ref="AC21:AC29" si="106">SUM(Z21:AB21)</f>
        <v>0</v>
      </c>
      <c r="AD21" s="74"/>
      <c r="AE21" s="73">
        <f>SUM(AE18*G21)</f>
        <v>0</v>
      </c>
      <c r="AF21" s="73">
        <f>SUM(AF18*G21)</f>
        <v>0</v>
      </c>
      <c r="AG21" s="73">
        <f>SUM(AG18*G21)</f>
        <v>0</v>
      </c>
      <c r="AH21" s="282">
        <f t="shared" ref="AH21:AH29" si="107">SUM(AE21:AG21)</f>
        <v>0</v>
      </c>
      <c r="AI21" s="74"/>
      <c r="AJ21" s="73">
        <f>SUM(AJ18*H21)</f>
        <v>1316.5300082410877</v>
      </c>
      <c r="AK21" s="73">
        <f>SUM(AK18*H21)</f>
        <v>1606.1926998275737</v>
      </c>
      <c r="AL21" s="73">
        <f>SUM(AL18*H21)</f>
        <v>1859.2413866843003</v>
      </c>
      <c r="AM21" s="282">
        <f t="shared" ref="AM21:AM29" si="108">SUM(AJ21:AL21)</f>
        <v>4781.9640947529624</v>
      </c>
      <c r="AN21" s="74"/>
      <c r="AO21" s="73">
        <f>SUM(AO18*I21)</f>
        <v>2724.8270753241773</v>
      </c>
      <c r="AP21" s="73">
        <f>SUM(AP18*I21)</f>
        <v>2990.8729686182864</v>
      </c>
      <c r="AQ21" s="73">
        <f>SUM(AQ18*I21)</f>
        <v>3220.8189249211059</v>
      </c>
      <c r="AR21" s="282">
        <f t="shared" ref="AR21:AR29" si="109">SUM(AO21:AQ21)</f>
        <v>8936.5189688635692</v>
      </c>
      <c r="AS21" s="74"/>
      <c r="AT21" s="73">
        <f>SUM(AT18*K21)</f>
        <v>4389.8540628847086</v>
      </c>
      <c r="AU21" s="73">
        <f>SUM(AU18*K21)</f>
        <v>4759.7458619862828</v>
      </c>
      <c r="AV21" s="73">
        <f>SUM(AV18*K21)</f>
        <v>5081.0935139328367</v>
      </c>
      <c r="AW21" s="282">
        <f t="shared" ref="AW21:AW29" si="110">SUM(AT21:AV21)</f>
        <v>14230.693438803828</v>
      </c>
      <c r="AX21" s="74"/>
      <c r="AY21" s="73">
        <f>SUM(AY18*L21)</f>
        <v>6483.8025207380233</v>
      </c>
      <c r="AZ21" s="73">
        <f>SUM(AZ18*L21)</f>
        <v>6872.4486025122969</v>
      </c>
      <c r="BA21" s="73">
        <f>SUM(BA18*L21)</f>
        <v>7208.1029210525057</v>
      </c>
      <c r="BB21" s="282">
        <f t="shared" ref="BB21:BB29" si="111">SUM(AY21:BA21)</f>
        <v>20564.354044302825</v>
      </c>
      <c r="BC21" s="74"/>
      <c r="BD21" s="73">
        <f>SUM(BD18*M21)</f>
        <v>8823.8001097294382</v>
      </c>
      <c r="BE21" s="73">
        <f>SUM(BE18*M21)</f>
        <v>9234.8180944498981</v>
      </c>
      <c r="BF21" s="73">
        <f>SUM(BF18*M21)</f>
        <v>9588.5542511857475</v>
      </c>
      <c r="BG21" s="282">
        <f t="shared" ref="BG21:BG29" si="112">SUM(BD21:BF21)</f>
        <v>27647.172455365086</v>
      </c>
      <c r="BH21" s="74"/>
      <c r="BI21" s="73">
        <f>SUM(BI18*N21)</f>
        <v>11423.748230780104</v>
      </c>
      <c r="BJ21" s="73">
        <f>SUM(BJ18*N21)</f>
        <v>11876.849209206566</v>
      </c>
      <c r="BK21" s="73">
        <f>SUM(BK18*N21)</f>
        <v>12265.923607474291</v>
      </c>
      <c r="BL21" s="282">
        <f t="shared" ref="BL21:BL29" si="113">SUM(BI21:BK21)</f>
        <v>35566.521047460963</v>
      </c>
      <c r="BM21" s="74"/>
      <c r="BN21" s="73">
        <f>SUM(BN18*P21)</f>
        <v>14326.209755119202</v>
      </c>
      <c r="BO21" s="73">
        <f>SUM(BO18*P21)</f>
        <v>14830.34294637331</v>
      </c>
      <c r="BP21" s="73">
        <f>SUM(BP18*P21)</f>
        <v>15262.295593184992</v>
      </c>
      <c r="BQ21" s="282">
        <f t="shared" ref="BQ21:BQ29" si="114">SUM(BN21:BP21)</f>
        <v>44418.848294677504</v>
      </c>
      <c r="BR21" s="74"/>
      <c r="BS21" s="73">
        <f>SUM(BS18*Q21)</f>
        <v>17640.159881741758</v>
      </c>
      <c r="BT21" s="73">
        <f>SUM(BT18*Q21)</f>
        <v>18278.724450574209</v>
      </c>
      <c r="BU21" s="73">
        <f>SUM(BU18*Q21)</f>
        <v>18827.815000750736</v>
      </c>
      <c r="BV21" s="282">
        <f t="shared" ref="BV21:BV29" si="115">SUM(BS21:BU21)</f>
        <v>54746.699333066703</v>
      </c>
      <c r="BW21" s="74"/>
      <c r="BX21" s="73">
        <f>SUM(BX18*R21)</f>
        <v>21600.230184996923</v>
      </c>
      <c r="BY21" s="73">
        <f>SUM(BY18*R21)</f>
        <v>22422.210398215197</v>
      </c>
      <c r="BZ21" s="73">
        <f>SUM(BZ18*R21)</f>
        <v>23133.146651104162</v>
      </c>
      <c r="CA21" s="282">
        <f t="shared" ref="CA21:CA29" si="116">SUM(BX21:BZ21)</f>
        <v>67155.587234316277</v>
      </c>
      <c r="CB21" s="74"/>
      <c r="CC21" s="73">
        <f>SUM(CC18*S21)</f>
        <v>26406.471402746214</v>
      </c>
      <c r="CD21" s="73">
        <f>SUM(CD18*S21)</f>
        <v>27480.767957155425</v>
      </c>
      <c r="CE21" s="73">
        <f>SUM(CE18*S21)</f>
        <v>28417.422803020232</v>
      </c>
      <c r="CF21" s="282">
        <f t="shared" ref="CF21:CF29" si="117">SUM(CC21:CE21)</f>
        <v>82304.662162921872</v>
      </c>
      <c r="CG21" s="88"/>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57" t="s">
        <v>192</v>
      </c>
      <c r="B22" s="367">
        <v>0.15</v>
      </c>
      <c r="C22" s="374">
        <v>0.06</v>
      </c>
      <c r="D22" s="121"/>
      <c r="E22" s="120"/>
      <c r="F22" s="129">
        <v>0</v>
      </c>
      <c r="G22" s="128">
        <v>0</v>
      </c>
      <c r="H22" s="33">
        <f t="shared" ref="H22" si="118">SUM(IF(ISBLANK(D22),B22,D22))</f>
        <v>0.15</v>
      </c>
      <c r="I22" s="33">
        <f t="shared" ref="I22" si="119">SUM(IF((1*(IF(ISBLANK(E22),C22,E22)))+IF(ISBLANK(D22),B22,D22) &lt; 0, 0, (1*(IF(ISBLANK(E22),C22,E22)))+IF(ISBLANK(D22),B22,D22)))</f>
        <v>0.21</v>
      </c>
      <c r="J22" s="282">
        <f>SUM(AC22+AH22+AM22+AR22)</f>
        <v>7217.9576286974989</v>
      </c>
      <c r="K22" s="33">
        <f t="shared" ref="K22" si="120">SUM(IF((2*(IF(ISBLANK(E22),C22,E22)))+IF(ISBLANK(D22),B22,D22) &lt; 0, 0, (2*(IF(ISBLANK(E22),C22,E22)))+IF(ISBLANK(D22),B22,D22)))</f>
        <v>0.27</v>
      </c>
      <c r="L22" s="33">
        <f t="shared" ref="L22" si="121">SUM(IF((3*(IF(ISBLANK(E22),C22,E22)))+IF(ISBLANK(D22),B22,D22) &lt; 0, 0, (3*(IF(ISBLANK(E22),C22,E22)))+IF(ISBLANK(D22),B22,D22)))</f>
        <v>0.32999999999999996</v>
      </c>
      <c r="M22" s="33">
        <f t="shared" ref="M22" si="122">SUM(IF((4*(IF(ISBLANK(E22),C22,E22)))+IF(ISBLANK(D22),B22,D22) &lt; 0, 0, (4*(IF(ISBLANK(E22),C22,E22)))+IF(ISBLANK(D22),B22,D22)))</f>
        <v>0.39</v>
      </c>
      <c r="N22" s="33">
        <f t="shared" ref="N22" si="123">SUM(IF((5*(IF(ISBLANK(E22),C22,E22)))+IF(ISBLANK(D22),B22,D22) &lt; 0, 0, (5*(IF(ISBLANK(E22),C22,E22)))+IF(ISBLANK(D22),B22,D22)))</f>
        <v>0.44999999999999996</v>
      </c>
      <c r="O22" s="282">
        <f t="shared" ref="O22:O29" si="124">SUM(AW22+BB22+BG22+BL22)</f>
        <v>86380.982830257475</v>
      </c>
      <c r="P22" s="33">
        <f t="shared" ref="P22" si="125">SUM(IF((6*(IF(ISBLANK(E22),C22,E22)))+IF(ISBLANK(D22),B22,D22) &lt; 0, 0, (6*(IF(ISBLANK(E22),C22,E22)))+IF(ISBLANK(D22),B22,D22)))</f>
        <v>0.51</v>
      </c>
      <c r="Q22" s="33">
        <f t="shared" ref="Q22" si="126">SUM(IF((7*(IF(ISBLANK(E22),C22,E22)))+IF(ISBLANK(D22),B22,D22) &lt; 0, 0, (7*(IF(ISBLANK(E22),C22,E22)))+IF(ISBLANK(D22),B22,D22)))</f>
        <v>0.56999999999999995</v>
      </c>
      <c r="R22" s="33">
        <f t="shared" ref="R22" si="127">SUM(IF((8*(IF(ISBLANK(E22),C22,E22)))+IF(ISBLANK(D22),B22,D22) &lt; 0, 0, (8*(IF(ISBLANK(E22),C22,E22)))+IF(ISBLANK(D22),B22,D22)))</f>
        <v>0.63</v>
      </c>
      <c r="S22" s="33">
        <f t="shared" ref="S22" si="128">SUM(IF((9*(IF(ISBLANK(E22),C22,E22)))+IF(ISBLANK(D22),B22,D22) &lt; 0, 0, (9*(IF(ISBLANK(E22),C22,E22)))+IF(ISBLANK(D22),B22,D22)))</f>
        <v>0.69000000000000006</v>
      </c>
      <c r="T22" s="305">
        <f t="shared" ref="T22:T29" si="129">SUM(BQ22+BV22+CA22+CF22)</f>
        <v>229745.73538154364</v>
      </c>
      <c r="U22" s="278">
        <f>SUM(IF((11*(IF(ISBLANK(E22),C22,E22)))+IF(ISBLANK(D22),B22,D22) &lt; 0, 0, (11*(IF(ISBLANK(E22),C22,E22)))+IF(ISBLANK(D22),B22,D22)))*12</f>
        <v>9.7199999999999989</v>
      </c>
      <c r="V22" s="279">
        <f>SUM(IF((13*(IF(ISBLANK(E22),C22,E22)))+IF(ISBLANK(D22),B22,D22) &lt; 0, 0, (13*(IF(ISBLANK(E22),C22,E22)))+IF(ISBLANK(D22),B22,D22)))*12</f>
        <v>11.16</v>
      </c>
      <c r="W22" s="280">
        <f>SUM(IF((15*(IF(ISBLANK(E22),C22,E22)))+IF(ISBLANK(D22),B22,D22) &lt; 0, 0, (15*(IF(ISBLANK(E22),C22,E22)))+IF(ISBLANK(D22),B22,D22)))*12</f>
        <v>12.599999999999998</v>
      </c>
      <c r="X22" s="177"/>
      <c r="Y22" s="505">
        <v>0</v>
      </c>
      <c r="Z22" s="73">
        <f>SUM(Z18*F22)</f>
        <v>0</v>
      </c>
      <c r="AA22" s="73">
        <f>SUM(AA18*F22)</f>
        <v>0</v>
      </c>
      <c r="AB22" s="73">
        <f>SUM(AB18*F22)</f>
        <v>0</v>
      </c>
      <c r="AC22" s="282">
        <f t="shared" si="106"/>
        <v>0</v>
      </c>
      <c r="AD22" s="74"/>
      <c r="AE22" s="73">
        <f>SUM(AE18*G22)</f>
        <v>0</v>
      </c>
      <c r="AF22" s="73">
        <f>SUM(AF18*G22)</f>
        <v>0</v>
      </c>
      <c r="AG22" s="73">
        <f>SUM(AG18*G22)</f>
        <v>0</v>
      </c>
      <c r="AH22" s="282">
        <f t="shared" si="107"/>
        <v>0</v>
      </c>
      <c r="AI22" s="74"/>
      <c r="AJ22" s="73">
        <f t="shared" ref="AJ22:AJ28" si="130">SUM(AJ19*H22)</f>
        <v>0</v>
      </c>
      <c r="AK22" s="73">
        <f t="shared" ref="AK22:AK28" si="131">SUM(AK19*H22)</f>
        <v>0</v>
      </c>
      <c r="AL22" s="73">
        <f t="shared" ref="AL22:AL28" si="132">SUM(AL19*H22)</f>
        <v>0</v>
      </c>
      <c r="AM22" s="282">
        <f t="shared" si="108"/>
        <v>0</v>
      </c>
      <c r="AN22" s="74"/>
      <c r="AO22" s="73">
        <f>SUM(AO18*I22)</f>
        <v>2200.8218685310662</v>
      </c>
      <c r="AP22" s="73">
        <f>SUM(AP18*I22)</f>
        <v>2415.7050900378467</v>
      </c>
      <c r="AQ22" s="73">
        <f>SUM(AQ18*I22)</f>
        <v>2601.4306701285855</v>
      </c>
      <c r="AR22" s="282">
        <f t="shared" si="109"/>
        <v>7217.9576286974989</v>
      </c>
      <c r="AS22" s="74"/>
      <c r="AT22" s="73">
        <f>SUM(AT18*K22)</f>
        <v>3703.9393655589729</v>
      </c>
      <c r="AU22" s="73">
        <f>SUM(AU18*K22)</f>
        <v>4016.0355710509261</v>
      </c>
      <c r="AV22" s="73">
        <f>SUM(AV18*K22)</f>
        <v>4287.1726523808311</v>
      </c>
      <c r="AW22" s="282">
        <f t="shared" si="110"/>
        <v>12007.147588990731</v>
      </c>
      <c r="AX22" s="74"/>
      <c r="AY22" s="73">
        <f>SUM(AY18*L22)</f>
        <v>5630.6706101145983</v>
      </c>
      <c r="AZ22" s="73">
        <f>SUM(AZ18*L22)</f>
        <v>5968.1790495501518</v>
      </c>
      <c r="BA22" s="73">
        <f>SUM(BA18*L22)</f>
        <v>6259.668326177175</v>
      </c>
      <c r="BB22" s="282">
        <f t="shared" si="111"/>
        <v>17858.517985841925</v>
      </c>
      <c r="BC22" s="74"/>
      <c r="BD22" s="73">
        <f>SUM(BD18*M22)</f>
        <v>7821.0955518056389</v>
      </c>
      <c r="BE22" s="73">
        <f>SUM(BE18*M22)</f>
        <v>8185.40694735332</v>
      </c>
      <c r="BF22" s="73">
        <f>SUM(BF18*M22)</f>
        <v>8498.9458135510031</v>
      </c>
      <c r="BG22" s="282">
        <f t="shared" si="112"/>
        <v>24505.448312709963</v>
      </c>
      <c r="BH22" s="74"/>
      <c r="BI22" s="73">
        <f>SUM(BI18*N22)</f>
        <v>10281.373407702093</v>
      </c>
      <c r="BJ22" s="73">
        <f>SUM(BJ18*N22)</f>
        <v>10689.164288285909</v>
      </c>
      <c r="BK22" s="73">
        <f>SUM(BK18*N22)</f>
        <v>11039.331246726861</v>
      </c>
      <c r="BL22" s="282">
        <f t="shared" si="113"/>
        <v>32009.868942714864</v>
      </c>
      <c r="BM22" s="74"/>
      <c r="BN22" s="73">
        <f>SUM(BN18*P22)</f>
        <v>13047.083884126414</v>
      </c>
      <c r="BO22" s="73">
        <f>SUM(BO18*P22)</f>
        <v>13506.205183304264</v>
      </c>
      <c r="BP22" s="73">
        <f>SUM(BP18*P22)</f>
        <v>13899.59062950776</v>
      </c>
      <c r="BQ22" s="282">
        <f t="shared" si="114"/>
        <v>40452.879696938435</v>
      </c>
      <c r="BR22" s="74"/>
      <c r="BS22" s="73">
        <f>SUM(BS18*Q22)</f>
        <v>16217.566342891616</v>
      </c>
      <c r="BT22" s="73">
        <f>SUM(BT18*Q22)</f>
        <v>16804.633769076288</v>
      </c>
      <c r="BU22" s="73">
        <f>SUM(BU18*Q22)</f>
        <v>17309.442823270838</v>
      </c>
      <c r="BV22" s="282">
        <f t="shared" si="115"/>
        <v>50331.642935238742</v>
      </c>
      <c r="BW22" s="74"/>
      <c r="BX22" s="73">
        <f>SUM(BX18*R22)</f>
        <v>20011.977965511858</v>
      </c>
      <c r="BY22" s="73">
        <f>SUM(BY18*R22)</f>
        <v>20773.518457169965</v>
      </c>
      <c r="BZ22" s="73">
        <f>SUM(BZ18*R22)</f>
        <v>21432.179985581799</v>
      </c>
      <c r="CA22" s="282">
        <f t="shared" si="116"/>
        <v>62217.676408263622</v>
      </c>
      <c r="CB22" s="74"/>
      <c r="CC22" s="73">
        <f>SUM(CC18*S22)</f>
        <v>24622.250362020121</v>
      </c>
      <c r="CD22" s="73">
        <f>SUM(CD18*S22)</f>
        <v>25623.959311401682</v>
      </c>
      <c r="CE22" s="73">
        <f>SUM(CE18*S22)</f>
        <v>26497.326667681031</v>
      </c>
      <c r="CF22" s="282">
        <f t="shared" si="117"/>
        <v>76743.536341102837</v>
      </c>
      <c r="CG22" s="88"/>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57" t="s">
        <v>193</v>
      </c>
      <c r="B23" s="367">
        <v>0</v>
      </c>
      <c r="C23" s="304">
        <v>0</v>
      </c>
      <c r="D23" s="121"/>
      <c r="E23" s="120"/>
      <c r="F23" s="129">
        <v>0</v>
      </c>
      <c r="G23" s="128">
        <v>0</v>
      </c>
      <c r="H23" s="360">
        <v>0</v>
      </c>
      <c r="I23" s="360">
        <v>0</v>
      </c>
      <c r="J23" s="282">
        <f t="shared" ref="J23:J29" si="133">SUM(AC23+AH23+AM23+AR23)</f>
        <v>0</v>
      </c>
      <c r="K23" s="33">
        <f>SUM(IF((0*(IF(ISBLANK(E23),C23,E23)))+IF(ISBLANK(D23),B23,D23) &lt; 0, 0, (0*(IF(ISBLANK(E23),C23,E23)))+IF(ISBLANK(D23),B23,D23)))</f>
        <v>0</v>
      </c>
      <c r="L23" s="33">
        <f>SUM(IF((1*(IF(ISBLANK(E23),C23,E23)))+IF(ISBLANK(D23),B23,D23) &lt; 0, 0, (1*(IF(ISBLANK(E23),C23,E23)))+IF(ISBLANK(D23),B23,D23)))</f>
        <v>0</v>
      </c>
      <c r="M23" s="33">
        <f>SUM(IF((2*(IF(ISBLANK(E23),C23,E23)))+IF(ISBLANK(D23),B23,D23) &lt; 0, 0, (2*(IF(ISBLANK(E23),C23,E23)))+IF(ISBLANK(D23),B23,D23)))</f>
        <v>0</v>
      </c>
      <c r="N23" s="33">
        <f>SUM(IF((3*(IF(ISBLANK(E23),C23,E23)))+IF(ISBLANK(D23),B23,D23) &lt; 0, 0, (3*(IF(ISBLANK(E23),C23,E23)))+IF(ISBLANK(D23),B23,D23)))</f>
        <v>0</v>
      </c>
      <c r="O23" s="282">
        <f t="shared" si="124"/>
        <v>0</v>
      </c>
      <c r="P23" s="33">
        <f>SUM(IF((4*(IF(ISBLANK(E23),C23,E23)))+IF(ISBLANK(D23),B23,D23) &lt; 0, 0, (4*(IF(ISBLANK(E23),C23,E23)))+IF(ISBLANK(D23),B23,D23)))</f>
        <v>0</v>
      </c>
      <c r="Q23" s="33">
        <f>SUM(IF((5*(IF(ISBLANK(E23),C23,E23)))+IF(ISBLANK(D23),B23,D23) &lt; 0, 0, (5*(IF(ISBLANK(E23),C23,E23)))+IF(ISBLANK(D23),B23,D23)))</f>
        <v>0</v>
      </c>
      <c r="R23" s="33">
        <f>SUM(IF((6*(IF(ISBLANK(E23),C23,E23)))+IF(ISBLANK(D23),B23,D23) &lt; 0, 0, (6*(IF(ISBLANK(E23),C23,E23)))+IF(ISBLANK(D23),B23,D23)))</f>
        <v>0</v>
      </c>
      <c r="S23" s="33">
        <f>SUM(IF((7*(IF(ISBLANK(E23),C23,E23)))+IF(ISBLANK(D23),B23,D23) &lt; 0, 0, (7*(IF(ISBLANK(E23),C23,E23)))+IF(ISBLANK(D23),B23,D23)))</f>
        <v>0</v>
      </c>
      <c r="T23" s="305">
        <f t="shared" si="129"/>
        <v>0</v>
      </c>
      <c r="U23" s="278">
        <f>SUM(IF((9*(IF(ISBLANK(E23),C23,E23)))+IF(ISBLANK(D23),B23,D23) &lt; 0, 0, (9*(IF(ISBLANK(E23),C23,E23)))+IF(ISBLANK(D23),B23,D23)))*12</f>
        <v>0</v>
      </c>
      <c r="V23" s="279">
        <f>SUM(IF((11*(IF(ISBLANK(E23),C23,E23)))+IF(ISBLANK(D23),B23,D23) &lt; 0, 0, (11*(IF(ISBLANK(E23),C23,E23)))+IF(ISBLANK(D23),B23,D23)))*12</f>
        <v>0</v>
      </c>
      <c r="W23" s="280">
        <f>SUM(IF((13*(IF(ISBLANK(E23),C23,E23)))+IF(ISBLANK(D23),B23,D23) &lt; 0, 0, (13*(IF(ISBLANK(E23),C23,E23)))+IF(ISBLANK(D23),B23,D23)))*12</f>
        <v>0</v>
      </c>
      <c r="X23" s="177"/>
      <c r="Y23" s="505">
        <v>0</v>
      </c>
      <c r="Z23" s="73">
        <f>SUM(Z18*F23)</f>
        <v>0</v>
      </c>
      <c r="AA23" s="73">
        <f>SUM(AA18*F23)</f>
        <v>0</v>
      </c>
      <c r="AB23" s="73">
        <f>SUM(AB18*F23)</f>
        <v>0</v>
      </c>
      <c r="AC23" s="282">
        <f t="shared" si="106"/>
        <v>0</v>
      </c>
      <c r="AD23" s="74"/>
      <c r="AE23" s="73">
        <f>SUM(AE18*G23)</f>
        <v>0</v>
      </c>
      <c r="AF23" s="73">
        <f>SUM(AF18*G23)</f>
        <v>0</v>
      </c>
      <c r="AG23" s="73">
        <f>SUM(AG18*G23)</f>
        <v>0</v>
      </c>
      <c r="AH23" s="282">
        <f t="shared" si="107"/>
        <v>0</v>
      </c>
      <c r="AI23" s="74"/>
      <c r="AJ23" s="73">
        <f t="shared" si="130"/>
        <v>0</v>
      </c>
      <c r="AK23" s="73">
        <f t="shared" si="131"/>
        <v>0</v>
      </c>
      <c r="AL23" s="73">
        <f t="shared" si="132"/>
        <v>0</v>
      </c>
      <c r="AM23" s="282">
        <f t="shared" si="108"/>
        <v>0</v>
      </c>
      <c r="AN23" s="74"/>
      <c r="AO23" s="73">
        <f>SUM(AO18*I23)</f>
        <v>0</v>
      </c>
      <c r="AP23" s="73">
        <f>SUM(AP18*I23)</f>
        <v>0</v>
      </c>
      <c r="AQ23" s="73">
        <f>SUM(AQ18*I23)</f>
        <v>0</v>
      </c>
      <c r="AR23" s="282">
        <f t="shared" si="109"/>
        <v>0</v>
      </c>
      <c r="AS23" s="74"/>
      <c r="AT23" s="73">
        <f>SUM(AT18*K23)</f>
        <v>0</v>
      </c>
      <c r="AU23" s="73">
        <f>SUM(AU18*K23)</f>
        <v>0</v>
      </c>
      <c r="AV23" s="73">
        <f>SUM(AV18*K23)</f>
        <v>0</v>
      </c>
      <c r="AW23" s="282">
        <f t="shared" si="110"/>
        <v>0</v>
      </c>
      <c r="AX23" s="74"/>
      <c r="AY23" s="73">
        <f>SUM(AY18*L23)</f>
        <v>0</v>
      </c>
      <c r="AZ23" s="73">
        <f>SUM(AZ18*L23)</f>
        <v>0</v>
      </c>
      <c r="BA23" s="73">
        <f>SUM(BA18*L23)</f>
        <v>0</v>
      </c>
      <c r="BB23" s="282">
        <f t="shared" si="111"/>
        <v>0</v>
      </c>
      <c r="BC23" s="74"/>
      <c r="BD23" s="73">
        <f>SUM(BD18*M23)</f>
        <v>0</v>
      </c>
      <c r="BE23" s="73">
        <f>SUM(BE18*M23)</f>
        <v>0</v>
      </c>
      <c r="BF23" s="73">
        <f>SUM(BF18*M23)</f>
        <v>0</v>
      </c>
      <c r="BG23" s="282">
        <f t="shared" si="112"/>
        <v>0</v>
      </c>
      <c r="BH23" s="74"/>
      <c r="BI23" s="73">
        <f>SUM(BI18*N23)</f>
        <v>0</v>
      </c>
      <c r="BJ23" s="73">
        <f>SUM(BJ18*N23)</f>
        <v>0</v>
      </c>
      <c r="BK23" s="73">
        <f>SUM(BK18*N23)</f>
        <v>0</v>
      </c>
      <c r="BL23" s="282">
        <f t="shared" si="113"/>
        <v>0</v>
      </c>
      <c r="BM23" s="74"/>
      <c r="BN23" s="73">
        <f>SUM(BN18*P23)</f>
        <v>0</v>
      </c>
      <c r="BO23" s="73">
        <f>SUM(BO18*P23)</f>
        <v>0</v>
      </c>
      <c r="BP23" s="73">
        <f>SUM(BP18*P23)</f>
        <v>0</v>
      </c>
      <c r="BQ23" s="282">
        <f t="shared" si="114"/>
        <v>0</v>
      </c>
      <c r="BR23" s="74"/>
      <c r="BS23" s="73">
        <f>SUM(BS18*Q23)</f>
        <v>0</v>
      </c>
      <c r="BT23" s="73">
        <f>SUM(BT18*Q23)</f>
        <v>0</v>
      </c>
      <c r="BU23" s="73">
        <f>SUM(BU18*Q23)</f>
        <v>0</v>
      </c>
      <c r="BV23" s="282">
        <f t="shared" si="115"/>
        <v>0</v>
      </c>
      <c r="BW23" s="74"/>
      <c r="BX23" s="73">
        <f>SUM(BX18*R23)</f>
        <v>0</v>
      </c>
      <c r="BY23" s="73">
        <f>SUM(BY18*R23)</f>
        <v>0</v>
      </c>
      <c r="BZ23" s="73">
        <f>SUM(BZ18*R23)</f>
        <v>0</v>
      </c>
      <c r="CA23" s="282">
        <f t="shared" si="116"/>
        <v>0</v>
      </c>
      <c r="CB23" s="74"/>
      <c r="CC23" s="73">
        <f>SUM(CC18*S23)</f>
        <v>0</v>
      </c>
      <c r="CD23" s="73">
        <f>SUM(CD18*S23)</f>
        <v>0</v>
      </c>
      <c r="CE23" s="73">
        <f>SUM(CE18*S23)</f>
        <v>0</v>
      </c>
      <c r="CF23" s="282">
        <f t="shared" si="117"/>
        <v>0</v>
      </c>
      <c r="CG23" s="88"/>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57" t="s">
        <v>194</v>
      </c>
      <c r="B24" s="367">
        <v>0</v>
      </c>
      <c r="C24" s="304">
        <v>0</v>
      </c>
      <c r="D24" s="121"/>
      <c r="E24" s="120"/>
      <c r="F24" s="129">
        <v>0</v>
      </c>
      <c r="G24" s="128">
        <v>0</v>
      </c>
      <c r="H24" s="360">
        <v>0</v>
      </c>
      <c r="I24" s="360">
        <v>0</v>
      </c>
      <c r="J24" s="282">
        <f t="shared" si="133"/>
        <v>0</v>
      </c>
      <c r="K24" s="33">
        <f>SUM(IF((0*(IF(ISBLANK(E24),C24,E24)))+IF(ISBLANK(D24),B24,D24) &lt; 0, 0, (0*(IF(ISBLANK(E24),C24,E24)))+IF(ISBLANK(D24),B24,D24)))</f>
        <v>0</v>
      </c>
      <c r="L24" s="33">
        <f>SUM(IF((1*(IF(ISBLANK(E24),C24,E24)))+IF(ISBLANK(D24),B24,D24) &lt; 0, 0, (1*(IF(ISBLANK(E24),C24,E24)))+IF(ISBLANK(D24),B24,D24)))</f>
        <v>0</v>
      </c>
      <c r="M24" s="33">
        <f>SUM(IF((2*(IF(ISBLANK(E24),C24,E24)))+IF(ISBLANK(D24),B24,D24) &lt; 0, 0, (2*(IF(ISBLANK(E24),C24,E24)))+IF(ISBLANK(D24),B24,D24)))</f>
        <v>0</v>
      </c>
      <c r="N24" s="33">
        <f>SUM(IF((3*(IF(ISBLANK(E24),C24,E24)))+IF(ISBLANK(D24),B24,D24) &lt; 0, 0, (3*(IF(ISBLANK(E24),C24,E24)))+IF(ISBLANK(D24),B24,D24)))</f>
        <v>0</v>
      </c>
      <c r="O24" s="282">
        <f t="shared" si="124"/>
        <v>0</v>
      </c>
      <c r="P24" s="33">
        <f>SUM(IF((4*(IF(ISBLANK(E24),C24,E24)))+IF(ISBLANK(D24),B24,D24) &lt; 0, 0, (4*(IF(ISBLANK(E24),C24,E24)))+IF(ISBLANK(D24),B24,D24)))</f>
        <v>0</v>
      </c>
      <c r="Q24" s="33">
        <f>SUM(IF((5*(IF(ISBLANK(E24),C24,E24)))+IF(ISBLANK(D24),B24,D24) &lt; 0, 0, (5*(IF(ISBLANK(E24),C24,E24)))+IF(ISBLANK(D24),B24,D24)))</f>
        <v>0</v>
      </c>
      <c r="R24" s="33">
        <f>SUM(IF((6*(IF(ISBLANK(E24),C24,E24)))+IF(ISBLANK(D24),B24,D24) &lt; 0, 0, (6*(IF(ISBLANK(E24),C24,E24)))+IF(ISBLANK(D24),B24,D24)))</f>
        <v>0</v>
      </c>
      <c r="S24" s="33">
        <f>SUM(IF((7*(IF(ISBLANK(E24),C24,E24)))+IF(ISBLANK(D24),B24,D24) &lt; 0, 0, (7*(IF(ISBLANK(E24),C24,E24)))+IF(ISBLANK(D24),B24,D24)))</f>
        <v>0</v>
      </c>
      <c r="T24" s="305">
        <f t="shared" si="129"/>
        <v>0</v>
      </c>
      <c r="U24" s="278">
        <f>SUM(IF((9*(IF(ISBLANK(E24),C24,E24)))+IF(ISBLANK(D24),B24,D24) &lt; 0, 0, (9*(IF(ISBLANK(E24),C24,E24)))+IF(ISBLANK(D24),B24,D24)))*12</f>
        <v>0</v>
      </c>
      <c r="V24" s="279">
        <f>SUM(IF((11*(IF(ISBLANK(E24),C24,E24)))+IF(ISBLANK(D24),B24,D24) &lt; 0, 0, (11*(IF(ISBLANK(E24),C24,E24)))+IF(ISBLANK(D24),B24,D24)))*12</f>
        <v>0</v>
      </c>
      <c r="W24" s="280">
        <f>SUM(IF((13*(IF(ISBLANK(E24),C24,E24)))+IF(ISBLANK(D24),B24,D24) &lt; 0, 0, (13*(IF(ISBLANK(E24),C24,E24)))+IF(ISBLANK(D24),B24,D24)))*12</f>
        <v>0</v>
      </c>
      <c r="X24" s="177"/>
      <c r="Y24" s="505">
        <v>0</v>
      </c>
      <c r="Z24" s="73">
        <f>SUM(Z18*F24)</f>
        <v>0</v>
      </c>
      <c r="AA24" s="73">
        <f>SUM(AA18*F24)</f>
        <v>0</v>
      </c>
      <c r="AB24" s="73">
        <f>SUM(AB18*F24)</f>
        <v>0</v>
      </c>
      <c r="AC24" s="282">
        <f t="shared" si="106"/>
        <v>0</v>
      </c>
      <c r="AD24" s="74"/>
      <c r="AE24" s="73">
        <f>SUM(AE18*G24)</f>
        <v>0</v>
      </c>
      <c r="AF24" s="73">
        <f>SUM(AF18*G24)</f>
        <v>0</v>
      </c>
      <c r="AG24" s="73">
        <f>SUM(AG18*G24)</f>
        <v>0</v>
      </c>
      <c r="AH24" s="282">
        <f t="shared" si="107"/>
        <v>0</v>
      </c>
      <c r="AI24" s="74"/>
      <c r="AJ24" s="73">
        <f t="shared" si="130"/>
        <v>0</v>
      </c>
      <c r="AK24" s="73">
        <f t="shared" si="131"/>
        <v>0</v>
      </c>
      <c r="AL24" s="73">
        <f t="shared" si="132"/>
        <v>0</v>
      </c>
      <c r="AM24" s="282">
        <f t="shared" si="108"/>
        <v>0</v>
      </c>
      <c r="AN24" s="74"/>
      <c r="AO24" s="73">
        <f>SUM(AO18*I24)</f>
        <v>0</v>
      </c>
      <c r="AP24" s="73">
        <f>SUM(AP18*I24)</f>
        <v>0</v>
      </c>
      <c r="AQ24" s="73">
        <f>SUM(AQ18*I24)</f>
        <v>0</v>
      </c>
      <c r="AR24" s="282">
        <f t="shared" si="109"/>
        <v>0</v>
      </c>
      <c r="AS24" s="74"/>
      <c r="AT24" s="73">
        <f>SUM(AT18*K24)</f>
        <v>0</v>
      </c>
      <c r="AU24" s="73">
        <f>SUM(AU18*K24)</f>
        <v>0</v>
      </c>
      <c r="AV24" s="73">
        <f>SUM(AV18*K24)</f>
        <v>0</v>
      </c>
      <c r="AW24" s="282">
        <f t="shared" si="110"/>
        <v>0</v>
      </c>
      <c r="AX24" s="74"/>
      <c r="AY24" s="73">
        <f>SUM(AY18*L24)</f>
        <v>0</v>
      </c>
      <c r="AZ24" s="73">
        <f>SUM(AZ18*L24)</f>
        <v>0</v>
      </c>
      <c r="BA24" s="73">
        <f>SUM(BA18*L24)</f>
        <v>0</v>
      </c>
      <c r="BB24" s="282">
        <f t="shared" si="111"/>
        <v>0</v>
      </c>
      <c r="BC24" s="74"/>
      <c r="BD24" s="73">
        <f>SUM(BD18*M24)</f>
        <v>0</v>
      </c>
      <c r="BE24" s="73">
        <f>SUM(BE18*M24)</f>
        <v>0</v>
      </c>
      <c r="BF24" s="73">
        <f>SUM(BF18*M24)</f>
        <v>0</v>
      </c>
      <c r="BG24" s="282">
        <f t="shared" si="112"/>
        <v>0</v>
      </c>
      <c r="BH24" s="74"/>
      <c r="BI24" s="73">
        <f>SUM(BI18*N24)</f>
        <v>0</v>
      </c>
      <c r="BJ24" s="73">
        <f>SUM(BJ18*N24)</f>
        <v>0</v>
      </c>
      <c r="BK24" s="73">
        <f>SUM(BK18*N24)</f>
        <v>0</v>
      </c>
      <c r="BL24" s="282">
        <f t="shared" si="113"/>
        <v>0</v>
      </c>
      <c r="BM24" s="74"/>
      <c r="BN24" s="73">
        <f>SUM(BN18*P24)</f>
        <v>0</v>
      </c>
      <c r="BO24" s="73">
        <f>SUM(BO18*P24)</f>
        <v>0</v>
      </c>
      <c r="BP24" s="73">
        <f>SUM(BP18*P24)</f>
        <v>0</v>
      </c>
      <c r="BQ24" s="282">
        <f t="shared" si="114"/>
        <v>0</v>
      </c>
      <c r="BR24" s="74"/>
      <c r="BS24" s="73">
        <f>SUM(BS18*Q24)</f>
        <v>0</v>
      </c>
      <c r="BT24" s="73">
        <f>SUM(BT18*Q24)</f>
        <v>0</v>
      </c>
      <c r="BU24" s="73">
        <f>SUM(BU18*Q24)</f>
        <v>0</v>
      </c>
      <c r="BV24" s="282">
        <f t="shared" si="115"/>
        <v>0</v>
      </c>
      <c r="BW24" s="74"/>
      <c r="BX24" s="73">
        <f>SUM(BX18*R24)</f>
        <v>0</v>
      </c>
      <c r="BY24" s="73">
        <f>SUM(BY18*R24)</f>
        <v>0</v>
      </c>
      <c r="BZ24" s="73">
        <f>SUM(BZ18*R24)</f>
        <v>0</v>
      </c>
      <c r="CA24" s="282">
        <f t="shared" si="116"/>
        <v>0</v>
      </c>
      <c r="CB24" s="74"/>
      <c r="CC24" s="73">
        <f>SUM(CC18*S24)</f>
        <v>0</v>
      </c>
      <c r="CD24" s="73">
        <f>SUM(CD18*S24)</f>
        <v>0</v>
      </c>
      <c r="CE24" s="73">
        <f>SUM(CE18*S24)</f>
        <v>0</v>
      </c>
      <c r="CF24" s="282">
        <f t="shared" si="117"/>
        <v>0</v>
      </c>
      <c r="CG24" s="88"/>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57" t="s">
        <v>195</v>
      </c>
      <c r="B25" s="367">
        <v>0</v>
      </c>
      <c r="C25" s="304">
        <v>0</v>
      </c>
      <c r="D25" s="121"/>
      <c r="E25" s="120"/>
      <c r="F25" s="129">
        <v>0</v>
      </c>
      <c r="G25" s="128">
        <v>0</v>
      </c>
      <c r="H25" s="360">
        <v>0</v>
      </c>
      <c r="I25" s="360">
        <v>0</v>
      </c>
      <c r="J25" s="282">
        <f t="shared" si="133"/>
        <v>0</v>
      </c>
      <c r="K25" s="33">
        <f>SUM(IF((0*(IF(ISBLANK(E25),C25,E25)))+IF(ISBLANK(D25),B25,D25) &lt; 0, 0, (0*(IF(ISBLANK(E25),C25,E25)))+IF(ISBLANK(D25),B25,D25)))</f>
        <v>0</v>
      </c>
      <c r="L25" s="33">
        <f>SUM(IF((1*(IF(ISBLANK(E25),C25,E25)))+IF(ISBLANK(D25),B25,D25) &lt; 0, 0, (1*(IF(ISBLANK(E25),C25,E25)))+IF(ISBLANK(D25),B25,D25)))</f>
        <v>0</v>
      </c>
      <c r="M25" s="33">
        <f>SUM(IF((2*(IF(ISBLANK(E25),C25,E25)))+IF(ISBLANK(D25),B25,D25) &lt; 0, 0, (2*(IF(ISBLANK(E25),C25,E25)))+IF(ISBLANK(D25),B25,D25)))</f>
        <v>0</v>
      </c>
      <c r="N25" s="33">
        <f>SUM(IF((3*(IF(ISBLANK(E25),C25,E25)))+IF(ISBLANK(D25),B25,D25) &lt; 0, 0, (3*(IF(ISBLANK(E25),C25,E25)))+IF(ISBLANK(D25),B25,D25)))</f>
        <v>0</v>
      </c>
      <c r="O25" s="282">
        <f t="shared" si="124"/>
        <v>0</v>
      </c>
      <c r="P25" s="33">
        <f>SUM(IF((4*(IF(ISBLANK(E25),C25,E25)))+IF(ISBLANK(D25),B25,D25) &lt; 0, 0, (4*(IF(ISBLANK(E25),C25,E25)))+IF(ISBLANK(D25),B25,D25)))</f>
        <v>0</v>
      </c>
      <c r="Q25" s="33">
        <f>SUM(IF((5*(IF(ISBLANK(E25),C25,E25)))+IF(ISBLANK(D25),B25,D25) &lt; 0, 0, (5*(IF(ISBLANK(E25),C25,E25)))+IF(ISBLANK(D25),B25,D25)))</f>
        <v>0</v>
      </c>
      <c r="R25" s="33">
        <f>SUM(IF((6*(IF(ISBLANK(E25),C25,E25)))+IF(ISBLANK(D25),B25,D25) &lt; 0, 0, (6*(IF(ISBLANK(E25),C25,E25)))+IF(ISBLANK(D25),B25,D25)))</f>
        <v>0</v>
      </c>
      <c r="S25" s="33">
        <f>SUM(IF((7*(IF(ISBLANK(E25),C25,E25)))+IF(ISBLANK(D25),B25,D25) &lt; 0, 0, (7*(IF(ISBLANK(E25),C25,E25)))+IF(ISBLANK(D25),B25,D25)))</f>
        <v>0</v>
      </c>
      <c r="T25" s="305">
        <f t="shared" si="129"/>
        <v>0</v>
      </c>
      <c r="U25" s="278">
        <f>SUM(IF((9*(IF(ISBLANK(E25),C25,E25)))+IF(ISBLANK(D25),B25,D25) &lt; 0, 0, (9*(IF(ISBLANK(E25),C25,E25)))+IF(ISBLANK(D25),B25,D25)))*12</f>
        <v>0</v>
      </c>
      <c r="V25" s="279">
        <f>SUM(IF((11*(IF(ISBLANK(E25),C25,E25)))+IF(ISBLANK(D25),B25,D25) &lt; 0, 0, (11*(IF(ISBLANK(E25),C25,E25)))+IF(ISBLANK(D25),B25,D25)))*12</f>
        <v>0</v>
      </c>
      <c r="W25" s="280">
        <f>SUM(IF((13*(IF(ISBLANK(E25),C25,E25)))+IF(ISBLANK(D25),B25,D25) &lt; 0, 0, (13*(IF(ISBLANK(E25),C25,E25)))+IF(ISBLANK(D25),B25,D25)))*12</f>
        <v>0</v>
      </c>
      <c r="X25" s="177"/>
      <c r="Y25" s="505">
        <v>0</v>
      </c>
      <c r="Z25" s="73">
        <f>SUM(Z18*F25)</f>
        <v>0</v>
      </c>
      <c r="AA25" s="73">
        <f>SUM(AA18*F25)</f>
        <v>0</v>
      </c>
      <c r="AB25" s="73">
        <f>SUM(AB18*F25)</f>
        <v>0</v>
      </c>
      <c r="AC25" s="282">
        <f t="shared" si="106"/>
        <v>0</v>
      </c>
      <c r="AD25" s="74"/>
      <c r="AE25" s="73">
        <f>SUM(AE18*G25)</f>
        <v>0</v>
      </c>
      <c r="AF25" s="73">
        <f>SUM(AF18*G25)</f>
        <v>0</v>
      </c>
      <c r="AG25" s="73">
        <f>SUM(AG18*G25)</f>
        <v>0</v>
      </c>
      <c r="AH25" s="282">
        <f t="shared" si="107"/>
        <v>0</v>
      </c>
      <c r="AI25" s="74"/>
      <c r="AJ25" s="73">
        <f t="shared" si="130"/>
        <v>0</v>
      </c>
      <c r="AK25" s="73">
        <f t="shared" si="131"/>
        <v>0</v>
      </c>
      <c r="AL25" s="73">
        <f t="shared" si="132"/>
        <v>0</v>
      </c>
      <c r="AM25" s="282">
        <f t="shared" si="108"/>
        <v>0</v>
      </c>
      <c r="AN25" s="74"/>
      <c r="AO25" s="73">
        <f>SUM(AO18*I25)</f>
        <v>0</v>
      </c>
      <c r="AP25" s="73">
        <f>SUM(AP18*I25)</f>
        <v>0</v>
      </c>
      <c r="AQ25" s="73">
        <f>SUM(AQ18*I25)</f>
        <v>0</v>
      </c>
      <c r="AR25" s="282">
        <f t="shared" si="109"/>
        <v>0</v>
      </c>
      <c r="AS25" s="74"/>
      <c r="AT25" s="73">
        <f>SUM(AT18*K25)</f>
        <v>0</v>
      </c>
      <c r="AU25" s="73">
        <f>SUM(AU18*K25)</f>
        <v>0</v>
      </c>
      <c r="AV25" s="73">
        <f>SUM(AV18*K25)</f>
        <v>0</v>
      </c>
      <c r="AW25" s="282">
        <f t="shared" si="110"/>
        <v>0</v>
      </c>
      <c r="AX25" s="74"/>
      <c r="AY25" s="73">
        <f>SUM(AY18*L25)</f>
        <v>0</v>
      </c>
      <c r="AZ25" s="73">
        <f>SUM(AZ18*L25)</f>
        <v>0</v>
      </c>
      <c r="BA25" s="73">
        <f>SUM(BA18*L25)</f>
        <v>0</v>
      </c>
      <c r="BB25" s="282">
        <f t="shared" si="111"/>
        <v>0</v>
      </c>
      <c r="BC25" s="74"/>
      <c r="BD25" s="73">
        <f>SUM(BD18*M25)</f>
        <v>0</v>
      </c>
      <c r="BE25" s="73">
        <f>SUM(BE18*M25)</f>
        <v>0</v>
      </c>
      <c r="BF25" s="73">
        <f>SUM(BF18*M25)</f>
        <v>0</v>
      </c>
      <c r="BG25" s="282">
        <f t="shared" si="112"/>
        <v>0</v>
      </c>
      <c r="BH25" s="74"/>
      <c r="BI25" s="73">
        <f>SUM(BI18*N25)</f>
        <v>0</v>
      </c>
      <c r="BJ25" s="73">
        <f>SUM(BJ18*N25)</f>
        <v>0</v>
      </c>
      <c r="BK25" s="73">
        <f>SUM(BK18*N25)</f>
        <v>0</v>
      </c>
      <c r="BL25" s="282">
        <f t="shared" si="113"/>
        <v>0</v>
      </c>
      <c r="BM25" s="74"/>
      <c r="BN25" s="73">
        <f>SUM(BN18*P25)</f>
        <v>0</v>
      </c>
      <c r="BO25" s="73">
        <f>SUM(BO18*P25)</f>
        <v>0</v>
      </c>
      <c r="BP25" s="73">
        <f>SUM(BP18*P25)</f>
        <v>0</v>
      </c>
      <c r="BQ25" s="282">
        <f t="shared" si="114"/>
        <v>0</v>
      </c>
      <c r="BR25" s="74"/>
      <c r="BS25" s="73">
        <f>SUM(BS18*Q25)</f>
        <v>0</v>
      </c>
      <c r="BT25" s="73">
        <f>SUM(BT18*Q25)</f>
        <v>0</v>
      </c>
      <c r="BU25" s="73">
        <f>SUM(BU18*Q25)</f>
        <v>0</v>
      </c>
      <c r="BV25" s="282">
        <f t="shared" si="115"/>
        <v>0</v>
      </c>
      <c r="BW25" s="74"/>
      <c r="BX25" s="73">
        <f>SUM(BX18*R25)</f>
        <v>0</v>
      </c>
      <c r="BY25" s="73">
        <f>SUM(BY18*R25)</f>
        <v>0</v>
      </c>
      <c r="BZ25" s="73">
        <f>SUM(BZ18*R25)</f>
        <v>0</v>
      </c>
      <c r="CA25" s="282">
        <f t="shared" si="116"/>
        <v>0</v>
      </c>
      <c r="CB25" s="74"/>
      <c r="CC25" s="73">
        <f>SUM(CC18*S25)</f>
        <v>0</v>
      </c>
      <c r="CD25" s="73">
        <f>SUM(CD18*S25)</f>
        <v>0</v>
      </c>
      <c r="CE25" s="73">
        <f>SUM(CE18*S25)</f>
        <v>0</v>
      </c>
      <c r="CF25" s="282">
        <f t="shared" si="117"/>
        <v>0</v>
      </c>
      <c r="CG25" s="88"/>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57" t="s">
        <v>196</v>
      </c>
      <c r="B26" s="367">
        <v>0</v>
      </c>
      <c r="C26" s="304">
        <v>0</v>
      </c>
      <c r="D26" s="121"/>
      <c r="E26" s="120"/>
      <c r="F26" s="129">
        <v>0</v>
      </c>
      <c r="G26" s="128">
        <v>0</v>
      </c>
      <c r="H26" s="360">
        <v>0</v>
      </c>
      <c r="I26" s="360">
        <v>0</v>
      </c>
      <c r="J26" s="282">
        <f t="shared" si="133"/>
        <v>0</v>
      </c>
      <c r="K26" s="33">
        <f>SUM(IF((0*(IF(ISBLANK(E26),C26,E26)))+IF(ISBLANK(D26),B26,D26) &lt; 0, 0, (0*(IF(ISBLANK(E26),C26,E26)))+IF(ISBLANK(D26),B26,D26)))</f>
        <v>0</v>
      </c>
      <c r="L26" s="33">
        <f>SUM(IF((1*(IF(ISBLANK(E26),C26,E26)))+IF(ISBLANK(D26),B26,D26) &lt; 0, 0, (1*(IF(ISBLANK(E26),C26,E26)))+IF(ISBLANK(D26),B26,D26)))</f>
        <v>0</v>
      </c>
      <c r="M26" s="33">
        <f>SUM(IF((2*(IF(ISBLANK(E26),C26,E26)))+IF(ISBLANK(D26),B26,D26) &lt; 0, 0, (2*(IF(ISBLANK(E26),C26,E26)))+IF(ISBLANK(D26),B26,D26)))</f>
        <v>0</v>
      </c>
      <c r="N26" s="33">
        <f>SUM(IF((3*(IF(ISBLANK(E26),C26,E26)))+IF(ISBLANK(D26),B26,D26) &lt; 0, 0, (3*(IF(ISBLANK(E26),C26,E26)))+IF(ISBLANK(D26),B26,D26)))</f>
        <v>0</v>
      </c>
      <c r="O26" s="282">
        <f t="shared" si="124"/>
        <v>0</v>
      </c>
      <c r="P26" s="33">
        <f>SUM(IF((4*(IF(ISBLANK(E26),C26,E26)))+IF(ISBLANK(D26),B26,D26) &lt; 0, 0, (4*(IF(ISBLANK(E26),C26,E26)))+IF(ISBLANK(D26),B26,D26)))</f>
        <v>0</v>
      </c>
      <c r="Q26" s="33">
        <f>SUM(IF((5*(IF(ISBLANK(E26),C26,E26)))+IF(ISBLANK(D26),B26,D26) &lt; 0, 0, (5*(IF(ISBLANK(E26),C26,E26)))+IF(ISBLANK(D26),B26,D26)))</f>
        <v>0</v>
      </c>
      <c r="R26" s="33">
        <f>SUM(IF((6*(IF(ISBLANK(E26),C26,E26)))+IF(ISBLANK(D26),B26,D26) &lt; 0, 0, (6*(IF(ISBLANK(E26),C26,E26)))+IF(ISBLANK(D26),B26,D26)))</f>
        <v>0</v>
      </c>
      <c r="S26" s="33">
        <f>SUM(IF((7*(IF(ISBLANK(E26),C26,E26)))+IF(ISBLANK(D26),B26,D26) &lt; 0, 0, (7*(IF(ISBLANK(E26),C26,E26)))+IF(ISBLANK(D26),B26,D26)))</f>
        <v>0</v>
      </c>
      <c r="T26" s="305">
        <f t="shared" si="129"/>
        <v>0</v>
      </c>
      <c r="U26" s="278">
        <f>SUM(IF((9*(IF(ISBLANK(E26),C26,E26)))+IF(ISBLANK(D26),B26,D26) &lt; 0, 0, (9*(IF(ISBLANK(E26),C26,E26)))+IF(ISBLANK(D26),B26,D26)))*12</f>
        <v>0</v>
      </c>
      <c r="V26" s="279">
        <f>SUM(IF((11*(IF(ISBLANK(E26),C26,E26)))+IF(ISBLANK(D26),B26,D26) &lt; 0, 0, (11*(IF(ISBLANK(E26),C26,E26)))+IF(ISBLANK(D26),B26,D26)))*12</f>
        <v>0</v>
      </c>
      <c r="W26" s="280">
        <f>SUM(IF((13*(IF(ISBLANK(E26),C26,E26)))+IF(ISBLANK(D26),B26,D26) &lt; 0, 0, (13*(IF(ISBLANK(E26),C26,E26)))+IF(ISBLANK(D26),B26,D26)))*12</f>
        <v>0</v>
      </c>
      <c r="X26" s="177"/>
      <c r="Y26" s="505">
        <v>0</v>
      </c>
      <c r="Z26" s="73">
        <f>SUM(Z18*F26)</f>
        <v>0</v>
      </c>
      <c r="AA26" s="73">
        <f>SUM(AA18*F26)</f>
        <v>0</v>
      </c>
      <c r="AB26" s="73">
        <f>SUM(AB18*F26)</f>
        <v>0</v>
      </c>
      <c r="AC26" s="282">
        <f t="shared" si="106"/>
        <v>0</v>
      </c>
      <c r="AD26" s="74"/>
      <c r="AE26" s="73">
        <f>SUM(AE18*G26)</f>
        <v>0</v>
      </c>
      <c r="AF26" s="73">
        <f>SUM(AF18*G26)</f>
        <v>0</v>
      </c>
      <c r="AG26" s="73">
        <f>SUM(AG18*G26)</f>
        <v>0</v>
      </c>
      <c r="AH26" s="282">
        <f t="shared" si="107"/>
        <v>0</v>
      </c>
      <c r="AI26" s="74"/>
      <c r="AJ26" s="73">
        <f t="shared" si="130"/>
        <v>0</v>
      </c>
      <c r="AK26" s="73">
        <f t="shared" si="131"/>
        <v>0</v>
      </c>
      <c r="AL26" s="73">
        <f t="shared" si="132"/>
        <v>0</v>
      </c>
      <c r="AM26" s="282">
        <f t="shared" si="108"/>
        <v>0</v>
      </c>
      <c r="AN26" s="74"/>
      <c r="AO26" s="73">
        <f>SUM(AO18*I26)</f>
        <v>0</v>
      </c>
      <c r="AP26" s="73">
        <f>SUM(AP18*I26)</f>
        <v>0</v>
      </c>
      <c r="AQ26" s="73">
        <f>SUM(AQ18*I26)</f>
        <v>0</v>
      </c>
      <c r="AR26" s="282">
        <f t="shared" si="109"/>
        <v>0</v>
      </c>
      <c r="AS26" s="74"/>
      <c r="AT26" s="73">
        <f>SUM(AT18*K26)</f>
        <v>0</v>
      </c>
      <c r="AU26" s="73">
        <f>SUM(AU18*K26)</f>
        <v>0</v>
      </c>
      <c r="AV26" s="73">
        <f>SUM(AV18*K26)</f>
        <v>0</v>
      </c>
      <c r="AW26" s="282">
        <f t="shared" si="110"/>
        <v>0</v>
      </c>
      <c r="AX26" s="74"/>
      <c r="AY26" s="73">
        <f>SUM(AY18*L26)</f>
        <v>0</v>
      </c>
      <c r="AZ26" s="73">
        <f>SUM(AZ18*L26)</f>
        <v>0</v>
      </c>
      <c r="BA26" s="73">
        <f>SUM(BA18*L26)</f>
        <v>0</v>
      </c>
      <c r="BB26" s="282">
        <f t="shared" si="111"/>
        <v>0</v>
      </c>
      <c r="BC26" s="74"/>
      <c r="BD26" s="73">
        <f>SUM(BD18*M26)</f>
        <v>0</v>
      </c>
      <c r="BE26" s="73">
        <f>SUM(BE18*M26)</f>
        <v>0</v>
      </c>
      <c r="BF26" s="73">
        <f>SUM(BF18*M26)</f>
        <v>0</v>
      </c>
      <c r="BG26" s="282">
        <f t="shared" si="112"/>
        <v>0</v>
      </c>
      <c r="BH26" s="74"/>
      <c r="BI26" s="73">
        <f>SUM(BI18*N26)</f>
        <v>0</v>
      </c>
      <c r="BJ26" s="73">
        <f>SUM(BJ18*N26)</f>
        <v>0</v>
      </c>
      <c r="BK26" s="73">
        <f>SUM(BK18*N26)</f>
        <v>0</v>
      </c>
      <c r="BL26" s="282">
        <f t="shared" si="113"/>
        <v>0</v>
      </c>
      <c r="BM26" s="74"/>
      <c r="BN26" s="73">
        <f>SUM(BN18*P26)</f>
        <v>0</v>
      </c>
      <c r="BO26" s="73">
        <f>SUM(BO18*P26)</f>
        <v>0</v>
      </c>
      <c r="BP26" s="73">
        <f>SUM(BP18*P26)</f>
        <v>0</v>
      </c>
      <c r="BQ26" s="282">
        <f t="shared" si="114"/>
        <v>0</v>
      </c>
      <c r="BR26" s="74"/>
      <c r="BS26" s="73">
        <f>SUM(BS18*Q26)</f>
        <v>0</v>
      </c>
      <c r="BT26" s="73">
        <f>SUM(BT18*Q26)</f>
        <v>0</v>
      </c>
      <c r="BU26" s="73">
        <f>SUM(BU18*Q26)</f>
        <v>0</v>
      </c>
      <c r="BV26" s="282">
        <f t="shared" si="115"/>
        <v>0</v>
      </c>
      <c r="BW26" s="74"/>
      <c r="BX26" s="73">
        <f>SUM(BX18*R26)</f>
        <v>0</v>
      </c>
      <c r="BY26" s="73">
        <f>SUM(BY18*R26)</f>
        <v>0</v>
      </c>
      <c r="BZ26" s="73">
        <f>SUM(BZ18*R26)</f>
        <v>0</v>
      </c>
      <c r="CA26" s="282">
        <f t="shared" si="116"/>
        <v>0</v>
      </c>
      <c r="CB26" s="74"/>
      <c r="CC26" s="73">
        <f>SUM(CC18*S26)</f>
        <v>0</v>
      </c>
      <c r="CD26" s="73">
        <f>SUM(CD18*S26)</f>
        <v>0</v>
      </c>
      <c r="CE26" s="73">
        <f>SUM(CE18*S26)</f>
        <v>0</v>
      </c>
      <c r="CF26" s="282">
        <f t="shared" si="117"/>
        <v>0</v>
      </c>
      <c r="CG26" s="88"/>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57" t="s">
        <v>197</v>
      </c>
      <c r="B27" s="367">
        <v>0</v>
      </c>
      <c r="C27" s="304">
        <v>0</v>
      </c>
      <c r="D27" s="121"/>
      <c r="E27" s="120"/>
      <c r="F27" s="129">
        <v>0</v>
      </c>
      <c r="G27" s="128">
        <v>0</v>
      </c>
      <c r="H27" s="360">
        <v>0</v>
      </c>
      <c r="I27" s="360">
        <v>0</v>
      </c>
      <c r="J27" s="282">
        <f t="shared" si="133"/>
        <v>0</v>
      </c>
      <c r="K27" s="360">
        <v>0</v>
      </c>
      <c r="L27" s="360">
        <v>0</v>
      </c>
      <c r="M27" s="360">
        <v>0</v>
      </c>
      <c r="N27" s="360">
        <v>0</v>
      </c>
      <c r="O27" s="282">
        <f t="shared" si="12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05">
        <f t="shared" si="129"/>
        <v>0</v>
      </c>
      <c r="U27" s="278">
        <f>SUM(IF((5*(IF(ISBLANK(E27),C27,E27)))+IF(ISBLANK(D27),B27,D27) &lt; 0, 0, (5*(IF(ISBLANK(E27),C27,E27)))+IF(ISBLANK(D27),B27,D27)))*12</f>
        <v>0</v>
      </c>
      <c r="V27" s="279">
        <f>SUM(IF((7*(IF(ISBLANK(E27),C27,E27)))+IF(ISBLANK(D27),B27,D27) &lt; 0, 0, (7*(IF(ISBLANK(E27),C27,E27)))+IF(ISBLANK(D27),B27,D27)))*12</f>
        <v>0</v>
      </c>
      <c r="W27" s="280">
        <f>SUM(IF((9*(IF(ISBLANK(E27),C27,E27)))+IF(ISBLANK(D27),B27,D27) &lt; 0, 0, (9*(IF(ISBLANK(E27),C27,E27)))+IF(ISBLANK(D27),B27,D27)))*12</f>
        <v>0</v>
      </c>
      <c r="X27" s="177"/>
      <c r="Y27" s="505">
        <v>0</v>
      </c>
      <c r="Z27" s="73">
        <f>SUM(Z18*F27)</f>
        <v>0</v>
      </c>
      <c r="AA27" s="73">
        <f>SUM(AA18*F27)</f>
        <v>0</v>
      </c>
      <c r="AB27" s="73">
        <f>SUM(AB18*F27)</f>
        <v>0</v>
      </c>
      <c r="AC27" s="282">
        <f t="shared" si="106"/>
        <v>0</v>
      </c>
      <c r="AD27" s="74"/>
      <c r="AE27" s="73">
        <f>SUM(AE18*G27)</f>
        <v>0</v>
      </c>
      <c r="AF27" s="73">
        <f>SUM(AF18*G27)</f>
        <v>0</v>
      </c>
      <c r="AG27" s="73">
        <f>SUM(AG18*G27)</f>
        <v>0</v>
      </c>
      <c r="AH27" s="282">
        <f t="shared" si="107"/>
        <v>0</v>
      </c>
      <c r="AI27" s="74"/>
      <c r="AJ27" s="73">
        <f t="shared" si="130"/>
        <v>0</v>
      </c>
      <c r="AK27" s="73">
        <f t="shared" si="131"/>
        <v>0</v>
      </c>
      <c r="AL27" s="73">
        <f t="shared" si="132"/>
        <v>0</v>
      </c>
      <c r="AM27" s="282">
        <f t="shared" si="108"/>
        <v>0</v>
      </c>
      <c r="AN27" s="74"/>
      <c r="AO27" s="73">
        <f>SUM(AO18*I27)</f>
        <v>0</v>
      </c>
      <c r="AP27" s="73">
        <f>SUM(AP18*I27)</f>
        <v>0</v>
      </c>
      <c r="AQ27" s="73">
        <f>SUM(AQ18*I27)</f>
        <v>0</v>
      </c>
      <c r="AR27" s="282">
        <f t="shared" si="109"/>
        <v>0</v>
      </c>
      <c r="AS27" s="74"/>
      <c r="AT27" s="73">
        <f>SUM(AT18*K27)</f>
        <v>0</v>
      </c>
      <c r="AU27" s="73">
        <f>SUM(AU18*K27)</f>
        <v>0</v>
      </c>
      <c r="AV27" s="73">
        <f>SUM(AV18*K27)</f>
        <v>0</v>
      </c>
      <c r="AW27" s="282">
        <f t="shared" si="110"/>
        <v>0</v>
      </c>
      <c r="AX27" s="74"/>
      <c r="AY27" s="73">
        <f>SUM(AY18*L27)</f>
        <v>0</v>
      </c>
      <c r="AZ27" s="73">
        <f>SUM(AZ18*L27)</f>
        <v>0</v>
      </c>
      <c r="BA27" s="73">
        <f>SUM(BA18*L27)</f>
        <v>0</v>
      </c>
      <c r="BB27" s="282">
        <f t="shared" si="111"/>
        <v>0</v>
      </c>
      <c r="BC27" s="74"/>
      <c r="BD27" s="73">
        <f>SUM(BD18*M27)</f>
        <v>0</v>
      </c>
      <c r="BE27" s="73">
        <f>SUM(BE18*M27)</f>
        <v>0</v>
      </c>
      <c r="BF27" s="73">
        <f>SUM(BF18*M27)</f>
        <v>0</v>
      </c>
      <c r="BG27" s="282">
        <f t="shared" si="112"/>
        <v>0</v>
      </c>
      <c r="BH27" s="74"/>
      <c r="BI27" s="73">
        <f>SUM(BI18*N27)</f>
        <v>0</v>
      </c>
      <c r="BJ27" s="73">
        <f>SUM(BJ18*N27)</f>
        <v>0</v>
      </c>
      <c r="BK27" s="73">
        <f>SUM(BK18*N27)</f>
        <v>0</v>
      </c>
      <c r="BL27" s="282">
        <f t="shared" si="113"/>
        <v>0</v>
      </c>
      <c r="BM27" s="74"/>
      <c r="BN27" s="73">
        <f>SUM(BN18*P27)</f>
        <v>0</v>
      </c>
      <c r="BO27" s="73">
        <f>SUM(BO18*P27)</f>
        <v>0</v>
      </c>
      <c r="BP27" s="73">
        <f>SUM(BP18*P27)</f>
        <v>0</v>
      </c>
      <c r="BQ27" s="282">
        <f t="shared" si="114"/>
        <v>0</v>
      </c>
      <c r="BR27" s="74"/>
      <c r="BS27" s="73">
        <f>SUM(BS18*Q27)</f>
        <v>0</v>
      </c>
      <c r="BT27" s="73">
        <f>SUM(BT18*Q27)</f>
        <v>0</v>
      </c>
      <c r="BU27" s="73">
        <f>SUM(BU18*Q27)</f>
        <v>0</v>
      </c>
      <c r="BV27" s="282">
        <f t="shared" si="115"/>
        <v>0</v>
      </c>
      <c r="BW27" s="74"/>
      <c r="BX27" s="73">
        <f>SUM(BX18*R27)</f>
        <v>0</v>
      </c>
      <c r="BY27" s="73">
        <f>SUM(BY18*R27)</f>
        <v>0</v>
      </c>
      <c r="BZ27" s="73">
        <f>SUM(BZ18*R27)</f>
        <v>0</v>
      </c>
      <c r="CA27" s="282">
        <f t="shared" si="116"/>
        <v>0</v>
      </c>
      <c r="CB27" s="74"/>
      <c r="CC27" s="73">
        <f>SUM(CC18*S27)</f>
        <v>0</v>
      </c>
      <c r="CD27" s="73">
        <f>SUM(CD18*S27)</f>
        <v>0</v>
      </c>
      <c r="CE27" s="73">
        <f>SUM(CE18*S27)</f>
        <v>0</v>
      </c>
      <c r="CF27" s="282">
        <f t="shared" si="117"/>
        <v>0</v>
      </c>
      <c r="CG27" s="88"/>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57" t="s">
        <v>198</v>
      </c>
      <c r="B28" s="367">
        <v>0</v>
      </c>
      <c r="C28" s="304">
        <v>0</v>
      </c>
      <c r="D28" s="121"/>
      <c r="E28" s="120"/>
      <c r="F28" s="129">
        <v>0</v>
      </c>
      <c r="G28" s="128">
        <v>0</v>
      </c>
      <c r="H28" s="360">
        <v>0</v>
      </c>
      <c r="I28" s="360">
        <v>0</v>
      </c>
      <c r="J28" s="282">
        <f t="shared" si="133"/>
        <v>0</v>
      </c>
      <c r="K28" s="360">
        <v>0</v>
      </c>
      <c r="L28" s="360">
        <v>0</v>
      </c>
      <c r="M28" s="360">
        <v>0</v>
      </c>
      <c r="N28" s="360">
        <v>0</v>
      </c>
      <c r="O28" s="282">
        <f t="shared" si="12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05">
        <f t="shared" si="129"/>
        <v>0</v>
      </c>
      <c r="U28" s="278">
        <f>SUM(IF((6*(IF(ISBLANK(E28),C28,E28)))+IF(ISBLANK(D28),B28,D28) &lt; 0, 0, (6*(IF(ISBLANK(E28),C28,E28)))+IF(ISBLANK(D28),B28,D28)))*12</f>
        <v>0</v>
      </c>
      <c r="V28" s="279">
        <f>SUM(IF((8*(IF(ISBLANK(E28),C28,E28)))+IF(ISBLANK(D28),B28,D28) &lt; 0, 0, (8*(IF(ISBLANK(E28),C28,E28)))+IF(ISBLANK(D28),B28,D28)))*12</f>
        <v>0</v>
      </c>
      <c r="W28" s="280">
        <f>SUM(IF((10*(IF(ISBLANK(E28),C28,E28)))+IF(ISBLANK(D28),B28,D28) &lt; 0, 0, (10*(IF(ISBLANK(E28),C28,E28)))+IF(ISBLANK(D28),B28,D28)))*12</f>
        <v>0</v>
      </c>
      <c r="X28" s="177"/>
      <c r="Y28" s="505">
        <v>0</v>
      </c>
      <c r="Z28" s="73">
        <f>SUM(Z18*F28)</f>
        <v>0</v>
      </c>
      <c r="AA28" s="73">
        <f>SUM(AA18*F28)</f>
        <v>0</v>
      </c>
      <c r="AB28" s="73">
        <f>SUM(AB18*F28)</f>
        <v>0</v>
      </c>
      <c r="AC28" s="282">
        <f t="shared" si="106"/>
        <v>0</v>
      </c>
      <c r="AD28" s="74"/>
      <c r="AE28" s="73">
        <f>SUM(AE18*G28)</f>
        <v>0</v>
      </c>
      <c r="AF28" s="73">
        <f>SUM(AF18*G28)</f>
        <v>0</v>
      </c>
      <c r="AG28" s="73">
        <f>SUM(AG18*G28)</f>
        <v>0</v>
      </c>
      <c r="AH28" s="282">
        <f t="shared" si="107"/>
        <v>0</v>
      </c>
      <c r="AI28" s="74"/>
      <c r="AJ28" s="73">
        <f t="shared" si="130"/>
        <v>0</v>
      </c>
      <c r="AK28" s="73">
        <f t="shared" si="131"/>
        <v>0</v>
      </c>
      <c r="AL28" s="73">
        <f t="shared" si="132"/>
        <v>0</v>
      </c>
      <c r="AM28" s="282">
        <f t="shared" si="108"/>
        <v>0</v>
      </c>
      <c r="AN28" s="74"/>
      <c r="AO28" s="73">
        <f>SUM(AO18*I28)</f>
        <v>0</v>
      </c>
      <c r="AP28" s="73">
        <f>SUM(AP18*I28)</f>
        <v>0</v>
      </c>
      <c r="AQ28" s="73">
        <f>SUM(AQ18*I28)</f>
        <v>0</v>
      </c>
      <c r="AR28" s="282">
        <f t="shared" si="109"/>
        <v>0</v>
      </c>
      <c r="AS28" s="74"/>
      <c r="AT28" s="73">
        <f>SUM(AT18*K28)</f>
        <v>0</v>
      </c>
      <c r="AU28" s="73">
        <f>SUM(AU18*K28)</f>
        <v>0</v>
      </c>
      <c r="AV28" s="73">
        <f>SUM(AV18*K28)</f>
        <v>0</v>
      </c>
      <c r="AW28" s="282">
        <f t="shared" si="110"/>
        <v>0</v>
      </c>
      <c r="AX28" s="74"/>
      <c r="AY28" s="73">
        <f>SUM(AY18*L28)</f>
        <v>0</v>
      </c>
      <c r="AZ28" s="73">
        <f>SUM(AZ18*L28)</f>
        <v>0</v>
      </c>
      <c r="BA28" s="73">
        <f>SUM(BA18*L28)</f>
        <v>0</v>
      </c>
      <c r="BB28" s="282">
        <f t="shared" si="111"/>
        <v>0</v>
      </c>
      <c r="BC28" s="74"/>
      <c r="BD28" s="73">
        <f>SUM(BD18*M28)</f>
        <v>0</v>
      </c>
      <c r="BE28" s="73">
        <f>SUM(BE18*M28)</f>
        <v>0</v>
      </c>
      <c r="BF28" s="73">
        <f>SUM(BF18*M28)</f>
        <v>0</v>
      </c>
      <c r="BG28" s="282">
        <f t="shared" si="112"/>
        <v>0</v>
      </c>
      <c r="BH28" s="74"/>
      <c r="BI28" s="73">
        <f>SUM(BI18*N28)</f>
        <v>0</v>
      </c>
      <c r="BJ28" s="73">
        <f>SUM(BJ18*N28)</f>
        <v>0</v>
      </c>
      <c r="BK28" s="73">
        <f>SUM(BK18*N28)</f>
        <v>0</v>
      </c>
      <c r="BL28" s="282">
        <f t="shared" si="113"/>
        <v>0</v>
      </c>
      <c r="BM28" s="74"/>
      <c r="BN28" s="73">
        <f>SUM(BN18*P28)</f>
        <v>0</v>
      </c>
      <c r="BO28" s="73">
        <f>SUM(BO18*P28)</f>
        <v>0</v>
      </c>
      <c r="BP28" s="73">
        <f>SUM(BP18*P28)</f>
        <v>0</v>
      </c>
      <c r="BQ28" s="282">
        <f t="shared" si="114"/>
        <v>0</v>
      </c>
      <c r="BR28" s="74"/>
      <c r="BS28" s="73">
        <f>SUM(BS18*Q28)</f>
        <v>0</v>
      </c>
      <c r="BT28" s="73">
        <f>SUM(BT18*Q28)</f>
        <v>0</v>
      </c>
      <c r="BU28" s="73">
        <f>SUM(BU18*Q28)</f>
        <v>0</v>
      </c>
      <c r="BV28" s="282">
        <f t="shared" si="115"/>
        <v>0</v>
      </c>
      <c r="BW28" s="74"/>
      <c r="BX28" s="73">
        <f>SUM(BX18*R28)</f>
        <v>0</v>
      </c>
      <c r="BY28" s="73">
        <f>SUM(BY18*R28)</f>
        <v>0</v>
      </c>
      <c r="BZ28" s="73">
        <f>SUM(BZ18*R28)</f>
        <v>0</v>
      </c>
      <c r="CA28" s="282">
        <f t="shared" si="116"/>
        <v>0</v>
      </c>
      <c r="CB28" s="74"/>
      <c r="CC28" s="73">
        <f>SUM(CC18*S28)</f>
        <v>0</v>
      </c>
      <c r="CD28" s="73">
        <f>SUM(CD18*S28)</f>
        <v>0</v>
      </c>
      <c r="CE28" s="73">
        <f>SUM(CE18*S28)</f>
        <v>0</v>
      </c>
      <c r="CF28" s="282">
        <f t="shared" si="117"/>
        <v>0</v>
      </c>
      <c r="CG28" s="88"/>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58" t="s">
        <v>199</v>
      </c>
      <c r="B29" s="645" t="s">
        <v>209</v>
      </c>
      <c r="C29" s="646"/>
      <c r="D29" s="645" t="s">
        <v>209</v>
      </c>
      <c r="E29" s="646"/>
      <c r="F29" s="130">
        <v>0</v>
      </c>
      <c r="G29" s="131">
        <v>0</v>
      </c>
      <c r="H29" s="131">
        <v>0</v>
      </c>
      <c r="I29" s="131">
        <v>0</v>
      </c>
      <c r="J29" s="282">
        <f t="shared" si="133"/>
        <v>0</v>
      </c>
      <c r="K29" s="131">
        <v>0</v>
      </c>
      <c r="L29" s="131">
        <v>0</v>
      </c>
      <c r="M29" s="131">
        <v>0</v>
      </c>
      <c r="N29" s="131">
        <v>0</v>
      </c>
      <c r="O29" s="282">
        <f t="shared" si="124"/>
        <v>0</v>
      </c>
      <c r="P29" s="131">
        <v>0</v>
      </c>
      <c r="Q29" s="131">
        <v>0</v>
      </c>
      <c r="R29" s="131">
        <v>0</v>
      </c>
      <c r="S29" s="131">
        <v>0</v>
      </c>
      <c r="T29" s="305">
        <f t="shared" si="129"/>
        <v>0</v>
      </c>
      <c r="U29" s="355">
        <v>0</v>
      </c>
      <c r="V29" s="356">
        <v>0</v>
      </c>
      <c r="W29" s="357">
        <v>0</v>
      </c>
      <c r="X29" s="177"/>
      <c r="Y29" s="505">
        <v>0</v>
      </c>
      <c r="Z29" s="73">
        <f>SUM(F29/3)</f>
        <v>0</v>
      </c>
      <c r="AA29" s="73">
        <f>SUM(F29/3)</f>
        <v>0</v>
      </c>
      <c r="AB29" s="73">
        <f>SUM(F29/3)</f>
        <v>0</v>
      </c>
      <c r="AC29" s="282">
        <f t="shared" si="106"/>
        <v>0</v>
      </c>
      <c r="AD29" s="74"/>
      <c r="AE29" s="73">
        <f>SUM(G29/3)</f>
        <v>0</v>
      </c>
      <c r="AF29" s="73">
        <f>SUM(G29/3)</f>
        <v>0</v>
      </c>
      <c r="AG29" s="73">
        <f>SUM(G29/3)</f>
        <v>0</v>
      </c>
      <c r="AH29" s="282">
        <f t="shared" si="107"/>
        <v>0</v>
      </c>
      <c r="AI29" s="74"/>
      <c r="AJ29" s="73">
        <f>SUM(H29/3)</f>
        <v>0</v>
      </c>
      <c r="AK29" s="73">
        <f>SUM(H29/3)</f>
        <v>0</v>
      </c>
      <c r="AL29" s="73">
        <f>SUM(H29/3)</f>
        <v>0</v>
      </c>
      <c r="AM29" s="282">
        <f t="shared" si="108"/>
        <v>0</v>
      </c>
      <c r="AN29" s="74"/>
      <c r="AO29" s="73">
        <f>SUM(I29/3)</f>
        <v>0</v>
      </c>
      <c r="AP29" s="73">
        <f>SUM(I29/3)</f>
        <v>0</v>
      </c>
      <c r="AQ29" s="73">
        <f>SUM(I29/3)</f>
        <v>0</v>
      </c>
      <c r="AR29" s="282">
        <f t="shared" si="109"/>
        <v>0</v>
      </c>
      <c r="AS29" s="74"/>
      <c r="AT29" s="73">
        <f>SUM(K29/3)</f>
        <v>0</v>
      </c>
      <c r="AU29" s="73">
        <f>SUM(K29/3)</f>
        <v>0</v>
      </c>
      <c r="AV29" s="73">
        <f>SUM(K29/3)</f>
        <v>0</v>
      </c>
      <c r="AW29" s="282">
        <f t="shared" si="110"/>
        <v>0</v>
      </c>
      <c r="AX29" s="74"/>
      <c r="AY29" s="73">
        <f>SUM(L29/3)</f>
        <v>0</v>
      </c>
      <c r="AZ29" s="73">
        <f>SUM(L29/3)</f>
        <v>0</v>
      </c>
      <c r="BA29" s="73">
        <f>SUM(L29/3)</f>
        <v>0</v>
      </c>
      <c r="BB29" s="282">
        <f t="shared" si="111"/>
        <v>0</v>
      </c>
      <c r="BC29" s="74"/>
      <c r="BD29" s="73">
        <f>SUM(M29/3)</f>
        <v>0</v>
      </c>
      <c r="BE29" s="73">
        <f>SUM(M29/3)</f>
        <v>0</v>
      </c>
      <c r="BF29" s="73">
        <f>SUM(M29/3)</f>
        <v>0</v>
      </c>
      <c r="BG29" s="282">
        <f t="shared" si="112"/>
        <v>0</v>
      </c>
      <c r="BH29" s="74"/>
      <c r="BI29" s="73">
        <f>SUM(N29/3)</f>
        <v>0</v>
      </c>
      <c r="BJ29" s="73">
        <f>SUM(N29/3)</f>
        <v>0</v>
      </c>
      <c r="BK29" s="73">
        <f>SUM(N29/3)</f>
        <v>0</v>
      </c>
      <c r="BL29" s="282">
        <f t="shared" si="113"/>
        <v>0</v>
      </c>
      <c r="BM29" s="74"/>
      <c r="BN29" s="73">
        <f>SUM(P29/3)</f>
        <v>0</v>
      </c>
      <c r="BO29" s="73">
        <f>SUM(P29/3)</f>
        <v>0</v>
      </c>
      <c r="BP29" s="73">
        <f>SUM(P29/3)</f>
        <v>0</v>
      </c>
      <c r="BQ29" s="282">
        <f t="shared" si="114"/>
        <v>0</v>
      </c>
      <c r="BR29" s="74"/>
      <c r="BS29" s="73">
        <f>SUM(Q29/3)</f>
        <v>0</v>
      </c>
      <c r="BT29" s="73">
        <f>SUM(Q29/3)</f>
        <v>0</v>
      </c>
      <c r="BU29" s="73">
        <f>SUM(Q29/3)</f>
        <v>0</v>
      </c>
      <c r="BV29" s="282">
        <f t="shared" si="115"/>
        <v>0</v>
      </c>
      <c r="BW29" s="74"/>
      <c r="BX29" s="73">
        <f>SUM(R29/3)</f>
        <v>0</v>
      </c>
      <c r="BY29" s="73">
        <f>SUM(R29/3)</f>
        <v>0</v>
      </c>
      <c r="BZ29" s="73">
        <f>SUM(R29/3)</f>
        <v>0</v>
      </c>
      <c r="CA29" s="282">
        <f t="shared" si="116"/>
        <v>0</v>
      </c>
      <c r="CB29" s="74"/>
      <c r="CC29" s="73">
        <f>SUM(S29/3)</f>
        <v>0</v>
      </c>
      <c r="CD29" s="73">
        <f>SUM(S29/3)</f>
        <v>0</v>
      </c>
      <c r="CE29" s="73">
        <f>SUM(S29/3)</f>
        <v>0</v>
      </c>
      <c r="CF29" s="282">
        <f t="shared" si="117"/>
        <v>0</v>
      </c>
      <c r="CG29" s="88"/>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59" t="s">
        <v>200</v>
      </c>
      <c r="B30" s="321"/>
      <c r="C30" s="322"/>
      <c r="D30" s="202"/>
      <c r="E30" s="203"/>
      <c r="F30" s="101">
        <f>AC30</f>
        <v>0</v>
      </c>
      <c r="G30" s="75">
        <f>AH30</f>
        <v>0</v>
      </c>
      <c r="H30" s="75">
        <f>AM30</f>
        <v>4781.9640947529624</v>
      </c>
      <c r="I30" s="75">
        <f>AR30</f>
        <v>16154.476597561068</v>
      </c>
      <c r="J30" s="72">
        <f>SUM(F30:I30)</f>
        <v>20936.44069231403</v>
      </c>
      <c r="K30" s="75">
        <f>AW30</f>
        <v>26237.841027794559</v>
      </c>
      <c r="L30" s="75">
        <f>BB30</f>
        <v>38422.872030144747</v>
      </c>
      <c r="M30" s="75">
        <f>BG30</f>
        <v>52152.620768075045</v>
      </c>
      <c r="N30" s="75">
        <f>BL30</f>
        <v>67576.389990175812</v>
      </c>
      <c r="O30" s="72">
        <f>SUM(K30:N30)</f>
        <v>184389.72381619015</v>
      </c>
      <c r="P30" s="75">
        <f>BQ30</f>
        <v>84871.727991615946</v>
      </c>
      <c r="Q30" s="75">
        <f>BV30</f>
        <v>105078.34226830545</v>
      </c>
      <c r="R30" s="75">
        <f>CA30</f>
        <v>129373.2636425799</v>
      </c>
      <c r="S30" s="75">
        <f>CF30</f>
        <v>159048.19850402471</v>
      </c>
      <c r="T30" s="158">
        <f>SUM(P30:S30)</f>
        <v>478371.53240652598</v>
      </c>
      <c r="U30" s="162">
        <f>SUM(((S18+U18)/2)*(U21+U22+U23+U24+U25+U26+U27+U28))</f>
        <v>1481994.3683467326</v>
      </c>
      <c r="V30" s="72">
        <f>SUM(((U18+V18)/2)*(V21+V22+V23+V24+V25+V26+V27+V28))</f>
        <v>3694910.4124486796</v>
      </c>
      <c r="W30" s="89">
        <f>SUM(((V18+W18)/2)*(W21+W22+W23+W24+W25+W26+W27+W28))</f>
        <v>6735751.4057027856</v>
      </c>
      <c r="X30" s="178"/>
      <c r="Y30" s="509">
        <v>0</v>
      </c>
      <c r="Z30" s="75">
        <f>SUM(Z21:Z29)</f>
        <v>0</v>
      </c>
      <c r="AA30" s="75">
        <f>SUM(AA21:AA29)</f>
        <v>0</v>
      </c>
      <c r="AB30" s="75">
        <f>SUM(AB21:AB29)</f>
        <v>0</v>
      </c>
      <c r="AC30" s="72">
        <f>SUM(Z30:AB30)</f>
        <v>0</v>
      </c>
      <c r="AD30" s="72"/>
      <c r="AE30" s="75">
        <f>SUM(AE21:AE29)</f>
        <v>0</v>
      </c>
      <c r="AF30" s="75">
        <f>SUM(AF21:AF29)</f>
        <v>0</v>
      </c>
      <c r="AG30" s="75">
        <f>SUM(AG21:AG29)</f>
        <v>0</v>
      </c>
      <c r="AH30" s="72">
        <f>SUM(AE30:AG30)</f>
        <v>0</v>
      </c>
      <c r="AI30" s="72"/>
      <c r="AJ30" s="75">
        <f>SUM(AJ21:AJ29)</f>
        <v>1316.5300082410877</v>
      </c>
      <c r="AK30" s="75">
        <f>SUM(AK21:AK29)</f>
        <v>1606.1926998275737</v>
      </c>
      <c r="AL30" s="75">
        <f>SUM(AL21:AL29)</f>
        <v>1859.2413866843003</v>
      </c>
      <c r="AM30" s="72">
        <f>SUM(AJ30:AL30)</f>
        <v>4781.9640947529624</v>
      </c>
      <c r="AN30" s="72"/>
      <c r="AO30" s="75">
        <f>SUM(AO21:AO29)</f>
        <v>4925.6489438552435</v>
      </c>
      <c r="AP30" s="75">
        <f>SUM(AP21:AP29)</f>
        <v>5406.5780586561332</v>
      </c>
      <c r="AQ30" s="75">
        <f>SUM(AQ21:AQ29)</f>
        <v>5822.2495950496914</v>
      </c>
      <c r="AR30" s="72">
        <f>SUM(AO30:AQ30)</f>
        <v>16154.476597561068</v>
      </c>
      <c r="AS30" s="72"/>
      <c r="AT30" s="75">
        <f>SUM(AT21:AT29)</f>
        <v>8093.7934284436815</v>
      </c>
      <c r="AU30" s="75">
        <f>SUM(AU21:AU29)</f>
        <v>8775.7814330372094</v>
      </c>
      <c r="AV30" s="75">
        <f>SUM(AV21:AV29)</f>
        <v>9368.2661663136678</v>
      </c>
      <c r="AW30" s="72">
        <f>SUM(AT30:AV30)</f>
        <v>26237.841027794559</v>
      </c>
      <c r="AX30" s="72"/>
      <c r="AY30" s="75">
        <f>SUM(AY21:AY29)</f>
        <v>12114.473130852621</v>
      </c>
      <c r="AZ30" s="75">
        <f>SUM(AZ21:AZ29)</f>
        <v>12840.627652062449</v>
      </c>
      <c r="BA30" s="75">
        <f>SUM(BA21:BA29)</f>
        <v>13467.771247229681</v>
      </c>
      <c r="BB30" s="72">
        <f>SUM(AY30:BA30)</f>
        <v>38422.872030144747</v>
      </c>
      <c r="BC30" s="72"/>
      <c r="BD30" s="75">
        <f>SUM(BD21:BD29)</f>
        <v>16644.895661535076</v>
      </c>
      <c r="BE30" s="75">
        <f>SUM(BE21:BE29)</f>
        <v>17420.22504180322</v>
      </c>
      <c r="BF30" s="75">
        <f>SUM(BF21:BF29)</f>
        <v>18087.500064736749</v>
      </c>
      <c r="BG30" s="72">
        <f>SUM(BD30:BF30)</f>
        <v>52152.620768075045</v>
      </c>
      <c r="BH30" s="72"/>
      <c r="BI30" s="75">
        <f>SUM(BI21:BI29)</f>
        <v>21705.121638482196</v>
      </c>
      <c r="BJ30" s="75">
        <f>SUM(BJ21:BJ29)</f>
        <v>22566.013497492473</v>
      </c>
      <c r="BK30" s="75">
        <f>SUM(BK21:BK29)</f>
        <v>23305.25485420115</v>
      </c>
      <c r="BL30" s="72">
        <f>SUM(BI30:BK30)</f>
        <v>67576.389990175812</v>
      </c>
      <c r="BM30" s="72"/>
      <c r="BN30" s="75">
        <f>SUM(BN21:BN29)</f>
        <v>27373.293639245618</v>
      </c>
      <c r="BO30" s="75">
        <f>SUM(BO21:BO29)</f>
        <v>28336.548129677576</v>
      </c>
      <c r="BP30" s="75">
        <f>SUM(BP21:BP29)</f>
        <v>29161.886222692752</v>
      </c>
      <c r="BQ30" s="72">
        <f>SUM(BN30:BP30)</f>
        <v>84871.727991615946</v>
      </c>
      <c r="BR30" s="72"/>
      <c r="BS30" s="75">
        <f>SUM(BS21:BS29)</f>
        <v>33857.72622463337</v>
      </c>
      <c r="BT30" s="75">
        <f>SUM(BT21:BT29)</f>
        <v>35083.358219650501</v>
      </c>
      <c r="BU30" s="75">
        <f>SUM(BU21:BU29)</f>
        <v>36137.257824021573</v>
      </c>
      <c r="BV30" s="72">
        <f>SUM(BS30:BU30)</f>
        <v>105078.34226830545</v>
      </c>
      <c r="BW30" s="72"/>
      <c r="BX30" s="75">
        <f>SUM(BX21:BX29)</f>
        <v>41612.208150508784</v>
      </c>
      <c r="BY30" s="75">
        <f>SUM(BY21:BY29)</f>
        <v>43195.728855385161</v>
      </c>
      <c r="BZ30" s="75">
        <f>SUM(BZ21:BZ29)</f>
        <v>44565.326636685961</v>
      </c>
      <c r="CA30" s="72">
        <f>SUM(BX30:BZ30)</f>
        <v>129373.2636425799</v>
      </c>
      <c r="CB30" s="72"/>
      <c r="CC30" s="75">
        <f>SUM(CC21:CC29)</f>
        <v>51028.721764766335</v>
      </c>
      <c r="CD30" s="75">
        <f>SUM(CD21:CD29)</f>
        <v>53104.727268557108</v>
      </c>
      <c r="CE30" s="75">
        <f>SUM(CE21:CE29)</f>
        <v>54914.749470701267</v>
      </c>
      <c r="CF30" s="84">
        <f>SUM(CC30:CE30)</f>
        <v>159048.19850402471</v>
      </c>
      <c r="CG30" s="89"/>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5"/>
      <c r="B31" s="160"/>
      <c r="C31" s="323"/>
      <c r="D31" s="40"/>
      <c r="E31" s="42"/>
      <c r="F31" s="102"/>
      <c r="G31" s="30"/>
      <c r="H31" s="30"/>
      <c r="I31" s="30"/>
      <c r="J31" s="30"/>
      <c r="K31" s="30"/>
      <c r="L31" s="30"/>
      <c r="M31" s="30"/>
      <c r="N31" s="30"/>
      <c r="O31" s="30"/>
      <c r="P31" s="30"/>
      <c r="Q31" s="30"/>
      <c r="R31" s="30"/>
      <c r="S31" s="30"/>
      <c r="T31" s="108"/>
      <c r="U31" s="40"/>
      <c r="V31" s="30"/>
      <c r="W31" s="42"/>
      <c r="X31" s="168"/>
      <c r="Y31" s="66"/>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0" t="s">
        <v>211</v>
      </c>
      <c r="B32" s="292"/>
      <c r="C32" s="324"/>
      <c r="D32" s="302"/>
      <c r="E32" s="303"/>
      <c r="F32" s="103"/>
      <c r="G32" s="69"/>
      <c r="H32" s="69"/>
      <c r="I32" s="69"/>
      <c r="J32" s="285"/>
      <c r="K32" s="69"/>
      <c r="L32" s="69"/>
      <c r="M32" s="69"/>
      <c r="N32" s="69"/>
      <c r="O32" s="285"/>
      <c r="P32" s="69"/>
      <c r="Q32" s="69"/>
      <c r="R32" s="69"/>
      <c r="S32" s="69"/>
      <c r="T32" s="277"/>
      <c r="U32" s="284"/>
      <c r="V32" s="285"/>
      <c r="W32" s="286"/>
      <c r="X32" s="178"/>
      <c r="Y32" s="504"/>
      <c r="Z32" s="69"/>
      <c r="AA32" s="69"/>
      <c r="AB32" s="69"/>
      <c r="AC32" s="285"/>
      <c r="AD32" s="72"/>
      <c r="AE32" s="69"/>
      <c r="AF32" s="69"/>
      <c r="AG32" s="69"/>
      <c r="AH32" s="285"/>
      <c r="AI32" s="72"/>
      <c r="AJ32" s="69"/>
      <c r="AK32" s="69"/>
      <c r="AL32" s="69"/>
      <c r="AM32" s="285"/>
      <c r="AN32" s="72"/>
      <c r="AO32" s="69"/>
      <c r="AP32" s="69"/>
      <c r="AQ32" s="69"/>
      <c r="AR32" s="285"/>
      <c r="AS32" s="72"/>
      <c r="AT32" s="69"/>
      <c r="AU32" s="69"/>
      <c r="AV32" s="69"/>
      <c r="AW32" s="285"/>
      <c r="AX32" s="72"/>
      <c r="AY32" s="69"/>
      <c r="AZ32" s="69"/>
      <c r="BA32" s="69"/>
      <c r="BB32" s="285"/>
      <c r="BC32" s="72"/>
      <c r="BD32" s="69"/>
      <c r="BE32" s="69"/>
      <c r="BF32" s="69"/>
      <c r="BG32" s="285"/>
      <c r="BH32" s="72"/>
      <c r="BI32" s="69"/>
      <c r="BJ32" s="69"/>
      <c r="BK32" s="69"/>
      <c r="BL32" s="285"/>
      <c r="BM32" s="72"/>
      <c r="BN32" s="69"/>
      <c r="BO32" s="69"/>
      <c r="BP32" s="69"/>
      <c r="BQ32" s="285"/>
      <c r="BR32" s="72"/>
      <c r="BS32" s="69"/>
      <c r="BT32" s="69"/>
      <c r="BU32" s="69"/>
      <c r="BV32" s="285"/>
      <c r="BW32" s="72"/>
      <c r="BX32" s="69"/>
      <c r="BY32" s="69"/>
      <c r="BZ32" s="69"/>
      <c r="CA32" s="285"/>
      <c r="CB32" s="72"/>
      <c r="CC32" s="69"/>
      <c r="CD32" s="69"/>
      <c r="CE32" s="69"/>
      <c r="CF32" s="285"/>
      <c r="CG32" s="89"/>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1" t="s">
        <v>201</v>
      </c>
      <c r="B33" s="281">
        <v>0</v>
      </c>
      <c r="C33" s="293">
        <v>0.04</v>
      </c>
      <c r="D33" s="116"/>
      <c r="E33" s="117"/>
      <c r="F33" s="104">
        <f>SUM((IF(ISBLANK(D33),B33,D33))+(F34*(IF(ISBLANK(E33),C33,E33))))</f>
        <v>800</v>
      </c>
      <c r="G33" s="70">
        <f>SUM((IF(ISBLANK(D33),B33,D33))+(G34*(IF(ISBLANK(E33),C33,E33))))</f>
        <v>800</v>
      </c>
      <c r="H33" s="70">
        <f>SUM((IF(ISBLANK(D33),B33,D33))+(H34*(IF(ISBLANK(E33),C33,E33))))</f>
        <v>400</v>
      </c>
      <c r="I33" s="70">
        <f>SUM((IF(ISBLANK(D33),B33,D33))+(I34*(IF(ISBLANK(E33),C33,E33))))</f>
        <v>400</v>
      </c>
      <c r="J33" s="282">
        <f>SUM(AC33+AH33+AM33+AR33)</f>
        <v>7200</v>
      </c>
      <c r="K33" s="70">
        <f>SUM((IF(ISBLANK(D33),B33,D33))+(K34*(IF(ISBLANK(E33),C33,E33))))</f>
        <v>400</v>
      </c>
      <c r="L33" s="70">
        <f>SUM((IF(ISBLANK(D33),B33,D33))+(L34*(IF(ISBLANK(E33),C33,E33))))</f>
        <v>400</v>
      </c>
      <c r="M33" s="70">
        <f>SUM((IF(ISBLANK(D33),B33,D33))+(M34*(IF(ISBLANK(E33),C33,E33))))</f>
        <v>400</v>
      </c>
      <c r="N33" s="70">
        <f>SUM((IF(ISBLANK(D33),B33,D33))+(N34*(IF(ISBLANK(E33),C33,E33))))</f>
        <v>400</v>
      </c>
      <c r="O33" s="282">
        <f>SUM(AW33+BB33+BG33+BL33)</f>
        <v>4800</v>
      </c>
      <c r="P33" s="70">
        <f>SUM((IF(ISBLANK(D33),B33,D33))+(P34*(IF(ISBLANK(E33),C33,E33))))</f>
        <v>400</v>
      </c>
      <c r="Q33" s="70">
        <f>SUM((IF(ISBLANK(D33),B33,D33))+(Q34*(IF(ISBLANK(E33),C33,E33))))</f>
        <v>400</v>
      </c>
      <c r="R33" s="70">
        <f>SUM((IF(ISBLANK(D33),B33,D33))+(R34*(IF(ISBLANK(E33),C33,E33))))</f>
        <v>600</v>
      </c>
      <c r="S33" s="70">
        <f>SUM((IF(ISBLANK(D33),B33,D33))+(S34*(IF(ISBLANK(E33),C33,E33))))</f>
        <v>800</v>
      </c>
      <c r="T33" s="305">
        <f>SUM(BQ33+BV33+CA33+CF33)</f>
        <v>6600</v>
      </c>
      <c r="U33" s="281">
        <f>SUM((IF(ISBLANK(D33),B33,D33))+(U34*(IF(ISBLANK(E33),C33,E33))))</f>
        <v>9600</v>
      </c>
      <c r="V33" s="282">
        <f>SUM((IF(ISBLANK(D33),B33,D33))+(V34*(IF(ISBLANK(E33),C33,E33))))</f>
        <v>9600</v>
      </c>
      <c r="W33" s="283">
        <f>SUM((IF(ISBLANK(D33),B33,D33))+(W34*(IF(ISBLANK(E33),C33,E33))))</f>
        <v>9600</v>
      </c>
      <c r="X33" s="177"/>
      <c r="Y33" s="505">
        <f>SUM(11102+10095+8000)</f>
        <v>29197</v>
      </c>
      <c r="Z33" s="70">
        <f>F33</f>
        <v>800</v>
      </c>
      <c r="AA33" s="70">
        <f>F33</f>
        <v>800</v>
      </c>
      <c r="AB33" s="70">
        <f>F33</f>
        <v>800</v>
      </c>
      <c r="AC33" s="282">
        <f t="shared" ref="AC33:AC43" si="134">SUM(Z33:AB33)</f>
        <v>2400</v>
      </c>
      <c r="AD33" s="74"/>
      <c r="AE33" s="70">
        <f>G33</f>
        <v>800</v>
      </c>
      <c r="AF33" s="70">
        <f>G33</f>
        <v>800</v>
      </c>
      <c r="AG33" s="70">
        <f>G33</f>
        <v>800</v>
      </c>
      <c r="AH33" s="282">
        <f t="shared" ref="AH33:AH46" si="135">SUM(AE33:AG33)</f>
        <v>2400</v>
      </c>
      <c r="AI33" s="74"/>
      <c r="AJ33" s="70">
        <f>H33</f>
        <v>400</v>
      </c>
      <c r="AK33" s="70">
        <f>H33</f>
        <v>400</v>
      </c>
      <c r="AL33" s="70">
        <f>H33</f>
        <v>400</v>
      </c>
      <c r="AM33" s="282">
        <f t="shared" ref="AM33:AM43" si="136">SUM(AJ33:AL33)</f>
        <v>1200</v>
      </c>
      <c r="AN33" s="74"/>
      <c r="AO33" s="70">
        <f>I33</f>
        <v>400</v>
      </c>
      <c r="AP33" s="70">
        <f>I33</f>
        <v>400</v>
      </c>
      <c r="AQ33" s="70">
        <f>I33</f>
        <v>400</v>
      </c>
      <c r="AR33" s="282">
        <f t="shared" ref="AR33:AR43" si="137">SUM(AO33:AQ33)</f>
        <v>1200</v>
      </c>
      <c r="AS33" s="74"/>
      <c r="AT33" s="70">
        <f>K33</f>
        <v>400</v>
      </c>
      <c r="AU33" s="70">
        <f>K33</f>
        <v>400</v>
      </c>
      <c r="AV33" s="70">
        <f>K33</f>
        <v>400</v>
      </c>
      <c r="AW33" s="282">
        <f t="shared" ref="AW33:AW43" si="138">SUM(AT33:AV33)</f>
        <v>1200</v>
      </c>
      <c r="AX33" s="74"/>
      <c r="AY33" s="70">
        <f>L33</f>
        <v>400</v>
      </c>
      <c r="AZ33" s="70">
        <f>L33</f>
        <v>400</v>
      </c>
      <c r="BA33" s="70">
        <f>L33</f>
        <v>400</v>
      </c>
      <c r="BB33" s="282">
        <f t="shared" ref="BB33:BB43" si="139">SUM(AY33:BA33)</f>
        <v>1200</v>
      </c>
      <c r="BC33" s="74"/>
      <c r="BD33" s="70">
        <f>M33</f>
        <v>400</v>
      </c>
      <c r="BE33" s="70">
        <f>M33</f>
        <v>400</v>
      </c>
      <c r="BF33" s="70">
        <f>M33</f>
        <v>400</v>
      </c>
      <c r="BG33" s="282">
        <f t="shared" ref="BG33:BG43" si="140">SUM(BD33:BF33)</f>
        <v>1200</v>
      </c>
      <c r="BH33" s="74"/>
      <c r="BI33" s="70">
        <f>N33</f>
        <v>400</v>
      </c>
      <c r="BJ33" s="70">
        <f>N33</f>
        <v>400</v>
      </c>
      <c r="BK33" s="70">
        <f>N33</f>
        <v>400</v>
      </c>
      <c r="BL33" s="282">
        <f t="shared" ref="BL33:BL43" si="141">SUM(BI33:BK33)</f>
        <v>1200</v>
      </c>
      <c r="BM33" s="74"/>
      <c r="BN33" s="70">
        <f>P33</f>
        <v>400</v>
      </c>
      <c r="BO33" s="70">
        <f>P33</f>
        <v>400</v>
      </c>
      <c r="BP33" s="70">
        <f>P33</f>
        <v>400</v>
      </c>
      <c r="BQ33" s="282">
        <f t="shared" ref="BQ33:BQ43" si="142">SUM(BN33:BP33)</f>
        <v>1200</v>
      </c>
      <c r="BR33" s="74"/>
      <c r="BS33" s="70">
        <f>Q33</f>
        <v>400</v>
      </c>
      <c r="BT33" s="70">
        <f>Q33</f>
        <v>400</v>
      </c>
      <c r="BU33" s="70">
        <f>Q33</f>
        <v>400</v>
      </c>
      <c r="BV33" s="282">
        <f t="shared" ref="BV33:BV43" si="143">SUM(BS33:BU33)</f>
        <v>1200</v>
      </c>
      <c r="BW33" s="74"/>
      <c r="BX33" s="70">
        <f>R33</f>
        <v>600</v>
      </c>
      <c r="BY33" s="70">
        <f>R33</f>
        <v>600</v>
      </c>
      <c r="BZ33" s="70">
        <f>R33</f>
        <v>600</v>
      </c>
      <c r="CA33" s="282">
        <f t="shared" ref="CA33:CA43" si="144">SUM(BX33:BZ33)</f>
        <v>1800</v>
      </c>
      <c r="CB33" s="74"/>
      <c r="CC33" s="70">
        <f>S33</f>
        <v>800</v>
      </c>
      <c r="CD33" s="70">
        <f>S33</f>
        <v>800</v>
      </c>
      <c r="CE33" s="70">
        <f>S33</f>
        <v>800</v>
      </c>
      <c r="CF33" s="282">
        <f t="shared" ref="CF33:CF43" si="145">SUM(CC33:CE33)</f>
        <v>2400</v>
      </c>
      <c r="CG33" s="88"/>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1" t="s">
        <v>202</v>
      </c>
      <c r="B34" s="270">
        <v>0</v>
      </c>
      <c r="C34" s="269">
        <v>0</v>
      </c>
      <c r="D34" s="118"/>
      <c r="E34" s="117"/>
      <c r="F34" s="130">
        <v>20000</v>
      </c>
      <c r="G34" s="131">
        <v>20000</v>
      </c>
      <c r="H34" s="362">
        <v>10000</v>
      </c>
      <c r="I34" s="362">
        <f>SUM(IF(ISBLANK(D34),      (IF((1*(IF(ISBLANK(E34),C34,E34)) + B34) &lt; 0,     0,     (1*(IF(ISBLANK(E34),C34,E34)) + B34)   )),       (IF((1*(IF(ISBLANK(E34),C34,E34)) + D34) &lt; 0,     0,     (1*(IF(ISBLANK(E34),C34,E34)) + D34)   ))  )       *   (I30/3)+(H34))</f>
        <v>10000</v>
      </c>
      <c r="J34" s="282">
        <f t="shared" ref="J34:J45" si="146">SUM(AC34+AH34+AM34+AR34)</f>
        <v>180000</v>
      </c>
      <c r="K34" s="362">
        <f>SUM(IF(ISBLANK(D34),      (IF((2*(IF(ISBLANK(E34),C34,E34)) + B34) &lt; 0,     0,     (2*(IF(ISBLANK(E34),C34,E34)) + B34)   )),       (IF((2*(IF(ISBLANK(E34),C34,E34)) + D34) &lt; 0,     0,     (2*(IF(ISBLANK(E34),C34,E34)) + D34)   ))  )       *   (K30/3)+(I34))</f>
        <v>10000</v>
      </c>
      <c r="L34" s="362">
        <f>SUM(IF(ISBLANK(D34),      (IF((3*(IF(ISBLANK(E34),C34,E34)) + B34) &lt; 0,     0,     (3*(IF(ISBLANK(E34),C34,E34)) + B34)   )),       (IF((3*(IF(ISBLANK(E34),C34,E34)) + D34) &lt; 0,     0,     (3*(IF(ISBLANK(E34),C34,E34)) + D34)   ))  )       *   (L30/3)+(K34))</f>
        <v>10000</v>
      </c>
      <c r="M34" s="362">
        <f>SUM(IF(ISBLANK(D34),      (IF((4*(IF(ISBLANK(E34),C34,E34)) + B34) &lt; 0,     0,     (4*(IF(ISBLANK(E34),C34,E34)) + B34)   )),       (IF((4*(IF(ISBLANK(E34),C34,E34)) + D34) &lt; 0,     0,     (4*(IF(ISBLANK(E34),C34,E34)) + D34)   ))  )       *   (M30/3)+(L34))</f>
        <v>10000</v>
      </c>
      <c r="N34" s="362">
        <f>SUM(IF(ISBLANK(D34),      (IF((5*(IF(ISBLANK(E34),C34,E34)) + B34) &lt; 0,     0,     (5*(IF(ISBLANK(E34),C34,E34)) + B34)   )),       (IF((5*(IF(ISBLANK(E34),C34,E34)) + D34) &lt; 0,     0,     (5*(IF(ISBLANK(E34),C34,E34)) + D34)   ))  )       *   (N30/3)+(M34))</f>
        <v>10000</v>
      </c>
      <c r="O34" s="282">
        <f t="shared" ref="O34:O45" si="147">SUM(AW34+BB34+BG34+BL34)</f>
        <v>120000</v>
      </c>
      <c r="P34" s="362">
        <v>10000</v>
      </c>
      <c r="Q34" s="362">
        <v>10000</v>
      </c>
      <c r="R34" s="362">
        <v>15000</v>
      </c>
      <c r="S34" s="362">
        <v>20000</v>
      </c>
      <c r="T34" s="305">
        <f t="shared" ref="T34:T45" si="148">SUM(BQ34+BV34+CA34+CF34)</f>
        <v>165000</v>
      </c>
      <c r="U34" s="281">
        <f>SUM(IF(ISBLANK(D34),      (IF((10*(IF(ISBLANK(E34),C34,E34)) + B34) &lt; 0,     0,     (10*(IF(ISBLANK(E34),C34,E34)) + B34)   )),       (IF((10*(IF(ISBLANK(E34),C34,E34)) + D34) &lt; 0,     0,     (10*(IF(ISBLANK(E34),C34,E34)) + D34)   ))  )       *   (U30/3)+(S34))*12</f>
        <v>240000</v>
      </c>
      <c r="V34" s="282">
        <f>SUM(IF(ISBLANK(D34),      (IF((11*(IF(ISBLANK(E34),C34,E34)) + B34) &lt; 0,     0,     (11*(IF(ISBLANK(E34),C34,E34)) + B34)   )),       (IF((11*(IF(ISBLANK(E34),C34,E34)) + D34) &lt; 0,     0,     (11*(IF(ISBLANK(E34),C34,E34)) + D34)   ))  )       *   (V30/12)+(U34/12))*12</f>
        <v>240000</v>
      </c>
      <c r="W34" s="283">
        <f>SUM(IF(ISBLANK(D34),      (IF((12*(IF(ISBLANK(E34),C34,E34)) + B34) &lt; 0,     0,     (12*(IF(ISBLANK(E34),C34,E34)) + B34)   )),       (IF((12*(IF(ISBLANK(E34),C34,E34)) + D34) &lt; 0,     0,     (12*(IF(ISBLANK(E34),C34,E34)) + D34)   ))  )       *   (W30/12)+(V34/12))*12</f>
        <v>240000</v>
      </c>
      <c r="X34" s="177"/>
      <c r="Y34" s="505">
        <f>SUM(30664+342396+71683+36198+34170+34090+28752+50203+25449+25629+23773+25295+25295+20000)</f>
        <v>773597</v>
      </c>
      <c r="Z34" s="70">
        <f t="shared" ref="Z34:Z46" si="149">F34</f>
        <v>20000</v>
      </c>
      <c r="AA34" s="70">
        <f t="shared" ref="AA34:AA46" si="150">F34</f>
        <v>20000</v>
      </c>
      <c r="AB34" s="70">
        <f t="shared" ref="AB34:AB46" si="151">F34</f>
        <v>20000</v>
      </c>
      <c r="AC34" s="282">
        <f t="shared" si="134"/>
        <v>60000</v>
      </c>
      <c r="AD34" s="74"/>
      <c r="AE34" s="70">
        <f t="shared" ref="AE34:AE46" si="152">G34</f>
        <v>20000</v>
      </c>
      <c r="AF34" s="70">
        <f t="shared" ref="AF34:AF46" si="153">G34</f>
        <v>20000</v>
      </c>
      <c r="AG34" s="70">
        <f t="shared" ref="AG34:AG46" si="154">G34</f>
        <v>20000</v>
      </c>
      <c r="AH34" s="282">
        <f t="shared" si="135"/>
        <v>60000</v>
      </c>
      <c r="AI34" s="74"/>
      <c r="AJ34" s="70">
        <f t="shared" ref="AJ34:AJ46" si="155">H34</f>
        <v>10000</v>
      </c>
      <c r="AK34" s="70">
        <f t="shared" ref="AK34:AK46" si="156">H34</f>
        <v>10000</v>
      </c>
      <c r="AL34" s="70">
        <f t="shared" ref="AL34:AL46" si="157">H34</f>
        <v>10000</v>
      </c>
      <c r="AM34" s="282">
        <f t="shared" si="136"/>
        <v>30000</v>
      </c>
      <c r="AN34" s="74"/>
      <c r="AO34" s="70">
        <f t="shared" ref="AO34:AO46" si="158">I34</f>
        <v>10000</v>
      </c>
      <c r="AP34" s="70">
        <f t="shared" ref="AP34:AP46" si="159">I34</f>
        <v>10000</v>
      </c>
      <c r="AQ34" s="70">
        <f t="shared" ref="AQ34:AQ46" si="160">I34</f>
        <v>10000</v>
      </c>
      <c r="AR34" s="282">
        <f t="shared" si="137"/>
        <v>30000</v>
      </c>
      <c r="AS34" s="74"/>
      <c r="AT34" s="70">
        <f t="shared" ref="AT34:AT46" si="161">K34</f>
        <v>10000</v>
      </c>
      <c r="AU34" s="70">
        <f t="shared" ref="AU34:AU46" si="162">K34</f>
        <v>10000</v>
      </c>
      <c r="AV34" s="70">
        <f t="shared" ref="AV34:AV46" si="163">K34</f>
        <v>10000</v>
      </c>
      <c r="AW34" s="282">
        <f t="shared" si="138"/>
        <v>30000</v>
      </c>
      <c r="AX34" s="74"/>
      <c r="AY34" s="70">
        <f t="shared" ref="AY34:AY46" si="164">L34</f>
        <v>10000</v>
      </c>
      <c r="AZ34" s="70">
        <f t="shared" ref="AZ34:AZ46" si="165">L34</f>
        <v>10000</v>
      </c>
      <c r="BA34" s="70">
        <f t="shared" ref="BA34:BA46" si="166">L34</f>
        <v>10000</v>
      </c>
      <c r="BB34" s="282">
        <f t="shared" si="139"/>
        <v>30000</v>
      </c>
      <c r="BC34" s="74"/>
      <c r="BD34" s="70">
        <f t="shared" ref="BD34:BD46" si="167">M34</f>
        <v>10000</v>
      </c>
      <c r="BE34" s="70">
        <f t="shared" ref="BE34:BE46" si="168">M34</f>
        <v>10000</v>
      </c>
      <c r="BF34" s="70">
        <f t="shared" ref="BF34:BF46" si="169">M34</f>
        <v>10000</v>
      </c>
      <c r="BG34" s="282">
        <f t="shared" si="140"/>
        <v>30000</v>
      </c>
      <c r="BH34" s="74"/>
      <c r="BI34" s="70">
        <f t="shared" ref="BI34:BI46" si="170">N34</f>
        <v>10000</v>
      </c>
      <c r="BJ34" s="70">
        <f t="shared" ref="BJ34:BJ46" si="171">N34</f>
        <v>10000</v>
      </c>
      <c r="BK34" s="70">
        <f t="shared" ref="BK34:BK46" si="172">N34</f>
        <v>10000</v>
      </c>
      <c r="BL34" s="282">
        <f t="shared" si="141"/>
        <v>30000</v>
      </c>
      <c r="BM34" s="74"/>
      <c r="BN34" s="70">
        <f t="shared" ref="BN34:BN46" si="173">P34</f>
        <v>10000</v>
      </c>
      <c r="BO34" s="70">
        <f t="shared" ref="BO34:BO43" si="174">P34</f>
        <v>10000</v>
      </c>
      <c r="BP34" s="70">
        <f t="shared" ref="BP34:BP46" si="175">P34</f>
        <v>10000</v>
      </c>
      <c r="BQ34" s="282">
        <f t="shared" si="142"/>
        <v>30000</v>
      </c>
      <c r="BR34" s="74"/>
      <c r="BS34" s="70">
        <f t="shared" ref="BS34:BS46" si="176">Q34</f>
        <v>10000</v>
      </c>
      <c r="BT34" s="70">
        <f t="shared" ref="BT34:BT46" si="177">Q34</f>
        <v>10000</v>
      </c>
      <c r="BU34" s="70">
        <f t="shared" ref="BU34:BU46" si="178">Q34</f>
        <v>10000</v>
      </c>
      <c r="BV34" s="282">
        <f t="shared" si="143"/>
        <v>30000</v>
      </c>
      <c r="BW34" s="74"/>
      <c r="BX34" s="70">
        <f t="shared" ref="BX34:BX46" si="179">R34</f>
        <v>15000</v>
      </c>
      <c r="BY34" s="70">
        <f t="shared" ref="BY34:BY46" si="180">R34</f>
        <v>15000</v>
      </c>
      <c r="BZ34" s="70">
        <f t="shared" ref="BZ34:BZ46" si="181">R34</f>
        <v>15000</v>
      </c>
      <c r="CA34" s="282">
        <f t="shared" si="144"/>
        <v>45000</v>
      </c>
      <c r="CB34" s="74"/>
      <c r="CC34" s="70">
        <f t="shared" ref="CC34:CC46" si="182">S34</f>
        <v>20000</v>
      </c>
      <c r="CD34" s="70">
        <f t="shared" ref="CD34:CD46" si="183">S34</f>
        <v>20000</v>
      </c>
      <c r="CE34" s="70">
        <f t="shared" ref="CE34:CE46" si="184">S34</f>
        <v>20000</v>
      </c>
      <c r="CF34" s="282">
        <f t="shared" si="145"/>
        <v>60000</v>
      </c>
      <c r="CG34" s="88"/>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1" t="s">
        <v>203</v>
      </c>
      <c r="B35" s="281">
        <v>0</v>
      </c>
      <c r="C35" s="293">
        <v>0.01</v>
      </c>
      <c r="D35" s="116"/>
      <c r="E35" s="117"/>
      <c r="F35" s="104">
        <f>SUM((IF(ISBLANK(D35),B35,D35))+(F34*(IF(ISBLANK(E35),C35,E35))))</f>
        <v>200</v>
      </c>
      <c r="G35" s="70">
        <f>SUM((IF(ISBLANK(D35),B35,D35))+(G34*(IF(ISBLANK(E35),C35,E35))))</f>
        <v>200</v>
      </c>
      <c r="H35" s="70">
        <f>SUM((IF(ISBLANK(D35),B35,D35))+(H34*(IF(ISBLANK(E35),C35,E35))))</f>
        <v>100</v>
      </c>
      <c r="I35" s="70">
        <f>SUM((IF(ISBLANK(D35),B35,D35))+(I34*(IF(ISBLANK(E35),C35,E35))))</f>
        <v>100</v>
      </c>
      <c r="J35" s="282">
        <f t="shared" si="146"/>
        <v>1800</v>
      </c>
      <c r="K35" s="70">
        <f>SUM((IF(ISBLANK(D35),B35,D35))+(K34*(IF(ISBLANK(E35),C35,E35))))</f>
        <v>100</v>
      </c>
      <c r="L35" s="70">
        <f>SUM((IF(ISBLANK(D35),B35,D35))+(L34*(IF(ISBLANK(E35),C35,E35))))</f>
        <v>100</v>
      </c>
      <c r="M35" s="70">
        <f>SUM((IF(ISBLANK(D35),B35,D35))+(M34*(IF(ISBLANK(E35),C35,E35))))</f>
        <v>100</v>
      </c>
      <c r="N35" s="70">
        <f>SUM((IF(ISBLANK(D35),B35,D35))+(N34*(IF(ISBLANK(E35),C35,E35))))</f>
        <v>100</v>
      </c>
      <c r="O35" s="282">
        <f t="shared" si="147"/>
        <v>1200</v>
      </c>
      <c r="P35" s="70">
        <f>SUM((IF(ISBLANK(D35),B35,D35))+(P34*(IF(ISBLANK(E35),C35,E35))))</f>
        <v>100</v>
      </c>
      <c r="Q35" s="70">
        <f>SUM((IF(ISBLANK(D35),B35,D35))+(Q34*(IF(ISBLANK(E35),C35,E35))))</f>
        <v>100</v>
      </c>
      <c r="R35" s="70">
        <f>SUM((IF(ISBLANK(D35),B35,D35))+(R34*(IF(ISBLANK(E35),C35,E35))))</f>
        <v>150</v>
      </c>
      <c r="S35" s="70">
        <f>SUM((IF(ISBLANK(D35),B35,D35))+(S34*(IF(ISBLANK(E35),C35,E35))))</f>
        <v>200</v>
      </c>
      <c r="T35" s="305">
        <f t="shared" si="148"/>
        <v>1650</v>
      </c>
      <c r="U35" s="281">
        <f>SUM((IF(ISBLANK(D35),B35,D35))+(U34*(IF(ISBLANK(E35),C35,E35))))</f>
        <v>2400</v>
      </c>
      <c r="V35" s="282">
        <f>SUM((IF(ISBLANK(D35),B35,D35))+(V34*(IF(ISBLANK(E35),C35,E35))))</f>
        <v>2400</v>
      </c>
      <c r="W35" s="283">
        <f>SUM((IF(ISBLANK(D35),B35,D35))+(W34*(IF(ISBLANK(E35),C35,E35))))</f>
        <v>2400</v>
      </c>
      <c r="X35" s="177"/>
      <c r="Y35" s="505">
        <v>4000</v>
      </c>
      <c r="Z35" s="70">
        <f t="shared" si="149"/>
        <v>200</v>
      </c>
      <c r="AA35" s="70">
        <f t="shared" si="150"/>
        <v>200</v>
      </c>
      <c r="AB35" s="70">
        <f t="shared" si="151"/>
        <v>200</v>
      </c>
      <c r="AC35" s="282">
        <f t="shared" si="134"/>
        <v>600</v>
      </c>
      <c r="AD35" s="74"/>
      <c r="AE35" s="70">
        <f t="shared" si="152"/>
        <v>200</v>
      </c>
      <c r="AF35" s="70">
        <f t="shared" si="153"/>
        <v>200</v>
      </c>
      <c r="AG35" s="70">
        <f t="shared" si="154"/>
        <v>200</v>
      </c>
      <c r="AH35" s="282">
        <f t="shared" si="135"/>
        <v>600</v>
      </c>
      <c r="AI35" s="74"/>
      <c r="AJ35" s="70">
        <f t="shared" si="155"/>
        <v>100</v>
      </c>
      <c r="AK35" s="70">
        <f t="shared" si="156"/>
        <v>100</v>
      </c>
      <c r="AL35" s="70">
        <f t="shared" si="157"/>
        <v>100</v>
      </c>
      <c r="AM35" s="282">
        <f t="shared" si="136"/>
        <v>300</v>
      </c>
      <c r="AN35" s="74"/>
      <c r="AO35" s="70">
        <f t="shared" si="158"/>
        <v>100</v>
      </c>
      <c r="AP35" s="70">
        <f t="shared" si="159"/>
        <v>100</v>
      </c>
      <c r="AQ35" s="70">
        <f t="shared" si="160"/>
        <v>100</v>
      </c>
      <c r="AR35" s="282">
        <f t="shared" si="137"/>
        <v>300</v>
      </c>
      <c r="AS35" s="74"/>
      <c r="AT35" s="70">
        <f t="shared" si="161"/>
        <v>100</v>
      </c>
      <c r="AU35" s="70">
        <f t="shared" si="162"/>
        <v>100</v>
      </c>
      <c r="AV35" s="70">
        <f t="shared" si="163"/>
        <v>100</v>
      </c>
      <c r="AW35" s="282">
        <f t="shared" si="138"/>
        <v>300</v>
      </c>
      <c r="AX35" s="74"/>
      <c r="AY35" s="70">
        <f t="shared" si="164"/>
        <v>100</v>
      </c>
      <c r="AZ35" s="70">
        <f t="shared" si="165"/>
        <v>100</v>
      </c>
      <c r="BA35" s="70">
        <f t="shared" si="166"/>
        <v>100</v>
      </c>
      <c r="BB35" s="282">
        <f t="shared" si="139"/>
        <v>300</v>
      </c>
      <c r="BC35" s="74"/>
      <c r="BD35" s="70">
        <f t="shared" si="167"/>
        <v>100</v>
      </c>
      <c r="BE35" s="70">
        <f t="shared" si="168"/>
        <v>100</v>
      </c>
      <c r="BF35" s="70">
        <f t="shared" si="169"/>
        <v>100</v>
      </c>
      <c r="BG35" s="282">
        <f t="shared" si="140"/>
        <v>300</v>
      </c>
      <c r="BH35" s="74"/>
      <c r="BI35" s="70">
        <f t="shared" si="170"/>
        <v>100</v>
      </c>
      <c r="BJ35" s="70">
        <f t="shared" si="171"/>
        <v>100</v>
      </c>
      <c r="BK35" s="70">
        <f t="shared" si="172"/>
        <v>100</v>
      </c>
      <c r="BL35" s="282">
        <f t="shared" si="141"/>
        <v>300</v>
      </c>
      <c r="BM35" s="74"/>
      <c r="BN35" s="70">
        <f t="shared" si="173"/>
        <v>100</v>
      </c>
      <c r="BO35" s="70">
        <f t="shared" si="174"/>
        <v>100</v>
      </c>
      <c r="BP35" s="70">
        <f t="shared" si="175"/>
        <v>100</v>
      </c>
      <c r="BQ35" s="282">
        <f t="shared" si="142"/>
        <v>300</v>
      </c>
      <c r="BR35" s="74"/>
      <c r="BS35" s="70">
        <f t="shared" si="176"/>
        <v>100</v>
      </c>
      <c r="BT35" s="70">
        <f t="shared" si="177"/>
        <v>100</v>
      </c>
      <c r="BU35" s="70">
        <f t="shared" si="178"/>
        <v>100</v>
      </c>
      <c r="BV35" s="282">
        <f t="shared" si="143"/>
        <v>300</v>
      </c>
      <c r="BW35" s="74"/>
      <c r="BX35" s="70">
        <f t="shared" si="179"/>
        <v>150</v>
      </c>
      <c r="BY35" s="70">
        <f t="shared" si="180"/>
        <v>150</v>
      </c>
      <c r="BZ35" s="70">
        <f t="shared" si="181"/>
        <v>150</v>
      </c>
      <c r="CA35" s="282">
        <f t="shared" si="144"/>
        <v>450</v>
      </c>
      <c r="CB35" s="74"/>
      <c r="CC35" s="70">
        <f t="shared" si="182"/>
        <v>200</v>
      </c>
      <c r="CD35" s="70">
        <f t="shared" si="183"/>
        <v>200</v>
      </c>
      <c r="CE35" s="70">
        <f t="shared" si="184"/>
        <v>200</v>
      </c>
      <c r="CF35" s="282">
        <f t="shared" si="145"/>
        <v>600</v>
      </c>
      <c r="CG35" s="88"/>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1" t="s">
        <v>204</v>
      </c>
      <c r="B36" s="363">
        <v>2000</v>
      </c>
      <c r="C36" s="293">
        <v>0.06</v>
      </c>
      <c r="D36" s="116"/>
      <c r="E36" s="117"/>
      <c r="F36" s="104">
        <f>SUM((IF(ISBLANK(D36),B36,D36))+(F34*(IF(ISBLANK(E36),C36,E36))))</f>
        <v>3200</v>
      </c>
      <c r="G36" s="70">
        <f>SUM((IF(ISBLANK(D36),B36,D36))+(G34*(IF(ISBLANK(E36),C36,E36))))</f>
        <v>3200</v>
      </c>
      <c r="H36" s="70">
        <f>SUM((IF(ISBLANK(D36),B36,D36))+(H34*(IF(ISBLANK(E36),C36,E36))))</f>
        <v>2600</v>
      </c>
      <c r="I36" s="70">
        <f>SUM((IF(ISBLANK(D36),B36,D36))+(I34*(IF(ISBLANK(E36),C36,E36))))</f>
        <v>2600</v>
      </c>
      <c r="J36" s="282">
        <f t="shared" si="146"/>
        <v>34800</v>
      </c>
      <c r="K36" s="70">
        <f>SUM((IF(ISBLANK(D36),B36,D36))+(K34*(IF(ISBLANK(E36),C36,E36))))</f>
        <v>2600</v>
      </c>
      <c r="L36" s="70">
        <f>SUM((IF(ISBLANK(D36),B36,D36))+(L34*(IF(ISBLANK(E36),C36,E36))))</f>
        <v>2600</v>
      </c>
      <c r="M36" s="70">
        <f>SUM((IF(ISBLANK(D36),B36,D36))+(M34*(IF(ISBLANK(E36),C36,E36))))</f>
        <v>2600</v>
      </c>
      <c r="N36" s="70">
        <f>SUM((IF(ISBLANK(D36),B36,D36))+(N34*(IF(ISBLANK(E36),C36,E36))))</f>
        <v>2600</v>
      </c>
      <c r="O36" s="282">
        <f t="shared" si="147"/>
        <v>31200</v>
      </c>
      <c r="P36" s="70">
        <f>SUM((IF(ISBLANK(D36),B36,D36))+(P34*(IF(ISBLANK(E36),C36,E36))))</f>
        <v>2600</v>
      </c>
      <c r="Q36" s="70">
        <f>SUM((IF(ISBLANK(D36),B36,D36))+(Q34*(IF(ISBLANK(E36),C36,E36))))</f>
        <v>2600</v>
      </c>
      <c r="R36" s="70">
        <f>SUM((IF(ISBLANK(D36),B36,D36))+(R34*(IF(ISBLANK(E36),C36,E36))))</f>
        <v>2900</v>
      </c>
      <c r="S36" s="70">
        <f>SUM((IF(ISBLANK(D36),B36,D36))+(S34*(IF(ISBLANK(E36),C36,E36))))</f>
        <v>3200</v>
      </c>
      <c r="T36" s="305">
        <f t="shared" si="148"/>
        <v>33900</v>
      </c>
      <c r="U36" s="281">
        <f>SUM((IF(ISBLANK(D36),B36,D36))+(U34*(IF(ISBLANK(E36),C36,E36))))</f>
        <v>16400</v>
      </c>
      <c r="V36" s="282">
        <f>SUM((IF(ISBLANK(D36),B36,D36))+(V34*(IF(ISBLANK(E36),C36,E36))))</f>
        <v>16400</v>
      </c>
      <c r="W36" s="283">
        <f>SUM((IF(ISBLANK(D36),B36,D36))+(W34*(IF(ISBLANK(E36),C36,E36))))</f>
        <v>16400</v>
      </c>
      <c r="X36" s="177"/>
      <c r="Y36" s="505">
        <f>SUM(3832+10734+12859+20000)</f>
        <v>47425</v>
      </c>
      <c r="Z36" s="70">
        <f t="shared" si="149"/>
        <v>3200</v>
      </c>
      <c r="AA36" s="70">
        <f t="shared" si="150"/>
        <v>3200</v>
      </c>
      <c r="AB36" s="70">
        <f t="shared" si="151"/>
        <v>3200</v>
      </c>
      <c r="AC36" s="282">
        <f t="shared" si="134"/>
        <v>9600</v>
      </c>
      <c r="AD36" s="74"/>
      <c r="AE36" s="70">
        <f t="shared" si="152"/>
        <v>3200</v>
      </c>
      <c r="AF36" s="70">
        <f t="shared" si="153"/>
        <v>3200</v>
      </c>
      <c r="AG36" s="70">
        <f t="shared" si="154"/>
        <v>3200</v>
      </c>
      <c r="AH36" s="282">
        <f t="shared" si="135"/>
        <v>9600</v>
      </c>
      <c r="AI36" s="74"/>
      <c r="AJ36" s="70">
        <f t="shared" si="155"/>
        <v>2600</v>
      </c>
      <c r="AK36" s="70">
        <f t="shared" si="156"/>
        <v>2600</v>
      </c>
      <c r="AL36" s="70">
        <f t="shared" si="157"/>
        <v>2600</v>
      </c>
      <c r="AM36" s="282">
        <f t="shared" si="136"/>
        <v>7800</v>
      </c>
      <c r="AN36" s="74"/>
      <c r="AO36" s="70">
        <f t="shared" si="158"/>
        <v>2600</v>
      </c>
      <c r="AP36" s="70">
        <f t="shared" si="159"/>
        <v>2600</v>
      </c>
      <c r="AQ36" s="70">
        <f t="shared" si="160"/>
        <v>2600</v>
      </c>
      <c r="AR36" s="282">
        <f t="shared" si="137"/>
        <v>7800</v>
      </c>
      <c r="AS36" s="74"/>
      <c r="AT36" s="70">
        <f t="shared" si="161"/>
        <v>2600</v>
      </c>
      <c r="AU36" s="70">
        <f t="shared" si="162"/>
        <v>2600</v>
      </c>
      <c r="AV36" s="70">
        <f t="shared" si="163"/>
        <v>2600</v>
      </c>
      <c r="AW36" s="282">
        <f t="shared" si="138"/>
        <v>7800</v>
      </c>
      <c r="AX36" s="74"/>
      <c r="AY36" s="70">
        <f t="shared" si="164"/>
        <v>2600</v>
      </c>
      <c r="AZ36" s="70">
        <f>L36</f>
        <v>2600</v>
      </c>
      <c r="BA36" s="70">
        <f t="shared" si="166"/>
        <v>2600</v>
      </c>
      <c r="BB36" s="282">
        <f t="shared" si="139"/>
        <v>7800</v>
      </c>
      <c r="BC36" s="74"/>
      <c r="BD36" s="70">
        <f t="shared" si="167"/>
        <v>2600</v>
      </c>
      <c r="BE36" s="70">
        <f t="shared" si="168"/>
        <v>2600</v>
      </c>
      <c r="BF36" s="70">
        <f t="shared" si="169"/>
        <v>2600</v>
      </c>
      <c r="BG36" s="282">
        <f t="shared" si="140"/>
        <v>7800</v>
      </c>
      <c r="BH36" s="74"/>
      <c r="BI36" s="70">
        <f t="shared" si="170"/>
        <v>2600</v>
      </c>
      <c r="BJ36" s="70">
        <f t="shared" si="171"/>
        <v>2600</v>
      </c>
      <c r="BK36" s="70">
        <f t="shared" si="172"/>
        <v>2600</v>
      </c>
      <c r="BL36" s="282">
        <f t="shared" si="141"/>
        <v>7800</v>
      </c>
      <c r="BM36" s="74"/>
      <c r="BN36" s="70">
        <f t="shared" si="173"/>
        <v>2600</v>
      </c>
      <c r="BO36" s="70">
        <f t="shared" si="174"/>
        <v>2600</v>
      </c>
      <c r="BP36" s="70">
        <f t="shared" si="175"/>
        <v>2600</v>
      </c>
      <c r="BQ36" s="282">
        <f t="shared" si="142"/>
        <v>7800</v>
      </c>
      <c r="BR36" s="74"/>
      <c r="BS36" s="70">
        <f t="shared" si="176"/>
        <v>2600</v>
      </c>
      <c r="BT36" s="70">
        <f t="shared" si="177"/>
        <v>2600</v>
      </c>
      <c r="BU36" s="70">
        <f t="shared" si="178"/>
        <v>2600</v>
      </c>
      <c r="BV36" s="282">
        <f t="shared" si="143"/>
        <v>7800</v>
      </c>
      <c r="BW36" s="74"/>
      <c r="BX36" s="70">
        <f t="shared" si="179"/>
        <v>2900</v>
      </c>
      <c r="BY36" s="70">
        <f t="shared" si="180"/>
        <v>2900</v>
      </c>
      <c r="BZ36" s="70">
        <f t="shared" si="181"/>
        <v>2900</v>
      </c>
      <c r="CA36" s="282">
        <f t="shared" si="144"/>
        <v>8700</v>
      </c>
      <c r="CB36" s="74"/>
      <c r="CC36" s="70">
        <f t="shared" si="182"/>
        <v>3200</v>
      </c>
      <c r="CD36" s="70">
        <f t="shared" si="183"/>
        <v>3200</v>
      </c>
      <c r="CE36" s="70">
        <f t="shared" si="184"/>
        <v>3200</v>
      </c>
      <c r="CF36" s="282">
        <f t="shared" si="145"/>
        <v>9600</v>
      </c>
      <c r="CG36" s="88"/>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1" t="s">
        <v>205</v>
      </c>
      <c r="B37" s="260">
        <v>0.3</v>
      </c>
      <c r="C37" s="269">
        <v>0</v>
      </c>
      <c r="D37" s="118"/>
      <c r="E37" s="117"/>
      <c r="F37" s="104">
        <f>SUM((IF(AC21*((0*(IF(ISBLANK(E37),C37,E37)))+IF(ISBLANK(D37),B37,D37)) &lt; 0, 0, (AC21*((0*(IF(ISBLANK(E37),C37,E37)))+IF(ISBLANK(D37),B37,D37)))))/3)</f>
        <v>0</v>
      </c>
      <c r="G37" s="70">
        <f>SUM((IF(AH21*((0*(IF(ISBLANK(E37),C37,E37)))+IF(ISBLANK(D37),B37,D37)) &lt; 0, 0, (AH21*((0*(IF(ISBLANK(E37),C37,E37)))+IF(ISBLANK(D37),B37,D37)))))/3)</f>
        <v>0</v>
      </c>
      <c r="H37" s="70">
        <f>SUM((IF(AM21*((0*(IF(ISBLANK(E37),C37,E37)))+IF(ISBLANK(D37),B37,D37)) &lt; 0, 0, (AM21*((0*(IF(ISBLANK(E37),C37,E37)))+IF(ISBLANK(D37),B37,D37)))))/3)</f>
        <v>478.19640947529621</v>
      </c>
      <c r="I37" s="70">
        <f>SUM((IF(AR21*((1*(IF(ISBLANK(E37),C37,E37)))+IF(ISBLANK(D37),B37,D37)) &lt; 0, 0, (AR21*((1*(IF(ISBLANK(E37),C37,E37)))+IF(ISBLANK(D37),B37,D37)))))/3)</f>
        <v>893.65189688635689</v>
      </c>
      <c r="J37" s="282">
        <f t="shared" si="146"/>
        <v>4115.5449190849595</v>
      </c>
      <c r="K37" s="70">
        <f>SUM((IF(AW21*((2*(IF(ISBLANK(E37),C37,E37)))+IF(ISBLANK(D37),B37,D37)) &lt; 0, 0, (AW21*((2*(IF(ISBLANK(E37),C37,E37)))+IF(ISBLANK(D37),B37,D37)))))/3)</f>
        <v>1423.0693438803828</v>
      </c>
      <c r="L37" s="70">
        <f>SUM((IF(BB21*((3*(IF(ISBLANK(E37),C37,E37)))+IF(ISBLANK(D37),B37,D37)) &lt; 0, 0, (BB21*((3*(IF(ISBLANK(E37),C37,E37)))+IF(ISBLANK(D37),B37,D37)))))/3)</f>
        <v>2056.4354044302822</v>
      </c>
      <c r="M37" s="70">
        <f>SUM((IF(BG21*((4*(IF(ISBLANK(E37),C37,E37)))+IF(ISBLANK(D37),B37,D37)) &lt; 0, 0, (BG21*((4*(IF(ISBLANK(E37),C37,E37)))+IF(ISBLANK(D37),B37,D37)))))/3)</f>
        <v>2764.7172455365085</v>
      </c>
      <c r="N37" s="70">
        <f>SUM((IF(BL21*((5*(IF(ISBLANK(E37),C37,E37)))+IF(ISBLANK(D37),B37,D37)) &lt; 0, 0, (BL21*((5*(IF(ISBLANK(E37),C37,E37)))+IF(ISBLANK(D37),B37,D37)))))/3)</f>
        <v>3556.652104746096</v>
      </c>
      <c r="O37" s="282">
        <f t="shared" si="147"/>
        <v>29402.622295779809</v>
      </c>
      <c r="P37" s="70">
        <f>SUM((IF(BQ21*((6*(IF(ISBLANK(E37),C37,E37)))+IF(ISBLANK(D37),B37,D37)) &lt; 0, 0, (BQ21*((6*(IF(ISBLANK(E37),C37,E37)))+IF(ISBLANK(D37),B37,D37)))))/3)</f>
        <v>4441.88482946775</v>
      </c>
      <c r="Q37" s="70">
        <f>SUM((IF(BV21*((7*(IF(ISBLANK(E37),C37,E37)))+IF(ISBLANK(D37),B37,D37)) &lt; 0, 0, (BV21*((7*(IF(ISBLANK(E37),C37,E37)))+IF(ISBLANK(D37),B37,D37)))))/3)</f>
        <v>5474.6699333066708</v>
      </c>
      <c r="R37" s="70">
        <f>SUM((IF(CA21*((8*(IF(ISBLANK(E37),C37,E37)))+IF(ISBLANK(D37),B37,D37)) &lt; 0, 0, (CA21*((8*(IF(ISBLANK(E37),C37,E37)))+IF(ISBLANK(D37),B37,D37)))))/3)</f>
        <v>6715.5587234316272</v>
      </c>
      <c r="S37" s="70">
        <f>SUM((IF(CF21*((9*(IF(ISBLANK(E37),C37,E37)))+IF(ISBLANK(D37),B37,D37)) &lt; 0, 0, (CF21*((9*(IF(ISBLANK(E37),C37,E37)))+IF(ISBLANK(D37),B37,D37)))))/3)</f>
        <v>8230.4662162921868</v>
      </c>
      <c r="T37" s="305">
        <f t="shared" si="148"/>
        <v>74587.739107494708</v>
      </c>
      <c r="U37" s="281">
        <f>SUM((IF((U21*U18)*((10*(IF(ISBLANK(E37),C37,E37)))+IF(ISBLANK(D37),B37,D37)) &lt; 0, 0, ((U21*U18)*((10*(IF(ISBLANK(E37),C37,E37)))+IF(ISBLANK(D37),B37,D37))))))</f>
        <v>339017.28446561308</v>
      </c>
      <c r="V37" s="282">
        <f>SUM((IF((V21*V18)*((10*(IF(ISBLANK(E37),C37,E37)))+IF(ISBLANK(D37),B37,D37)) &lt; 0, 0, ((V21*V18)*((10*(IF(ISBLANK(E37),C37,E37)))+IF(ISBLANK(D37),B37,D37))))))</f>
        <v>751168.72294186847</v>
      </c>
      <c r="W37" s="283">
        <f>SUM((IF((W21*W18)*((10*(IF(ISBLANK(E37),C37,E37)))+IF(ISBLANK(D37),B37,D37)) &lt; 0, 0, ((W21*W18)*((10*(IF(ISBLANK(E37),C37,E37)))+IF(ISBLANK(D37),B37,D37))))))</f>
        <v>1224570.4696018239</v>
      </c>
      <c r="X37" s="177"/>
      <c r="Y37" s="505">
        <v>0</v>
      </c>
      <c r="Z37" s="70">
        <f t="shared" si="149"/>
        <v>0</v>
      </c>
      <c r="AA37" s="70">
        <f t="shared" si="150"/>
        <v>0</v>
      </c>
      <c r="AB37" s="70">
        <f t="shared" si="151"/>
        <v>0</v>
      </c>
      <c r="AC37" s="282">
        <f>SUM(Z37:AB37)</f>
        <v>0</v>
      </c>
      <c r="AD37" s="74"/>
      <c r="AE37" s="70">
        <f t="shared" si="152"/>
        <v>0</v>
      </c>
      <c r="AF37" s="70">
        <f t="shared" si="153"/>
        <v>0</v>
      </c>
      <c r="AG37" s="70">
        <f t="shared" si="154"/>
        <v>0</v>
      </c>
      <c r="AH37" s="282">
        <f>SUM(AE37:AG37)</f>
        <v>0</v>
      </c>
      <c r="AI37" s="74"/>
      <c r="AJ37" s="70">
        <f t="shared" si="155"/>
        <v>478.19640947529621</v>
      </c>
      <c r="AK37" s="70">
        <f t="shared" si="156"/>
        <v>478.19640947529621</v>
      </c>
      <c r="AL37" s="70">
        <f t="shared" si="157"/>
        <v>478.19640947529621</v>
      </c>
      <c r="AM37" s="282">
        <f>SUM(AJ37:AL37)</f>
        <v>1434.5892284258887</v>
      </c>
      <c r="AN37" s="74"/>
      <c r="AO37" s="70">
        <f t="shared" si="158"/>
        <v>893.65189688635689</v>
      </c>
      <c r="AP37" s="70">
        <f t="shared" si="159"/>
        <v>893.65189688635689</v>
      </c>
      <c r="AQ37" s="70">
        <f t="shared" si="160"/>
        <v>893.65189688635689</v>
      </c>
      <c r="AR37" s="282">
        <f>SUM(AO37:AQ37)</f>
        <v>2680.9556906590706</v>
      </c>
      <c r="AS37" s="74"/>
      <c r="AT37" s="70">
        <f t="shared" si="161"/>
        <v>1423.0693438803828</v>
      </c>
      <c r="AU37" s="70">
        <f t="shared" si="162"/>
        <v>1423.0693438803828</v>
      </c>
      <c r="AV37" s="70">
        <f t="shared" si="163"/>
        <v>1423.0693438803828</v>
      </c>
      <c r="AW37" s="282">
        <f>SUM(AT37:AV37)</f>
        <v>4269.2080316411484</v>
      </c>
      <c r="AX37" s="74"/>
      <c r="AY37" s="70">
        <f t="shared" si="164"/>
        <v>2056.4354044302822</v>
      </c>
      <c r="AZ37" s="70">
        <f>L37</f>
        <v>2056.4354044302822</v>
      </c>
      <c r="BA37" s="70">
        <f t="shared" si="166"/>
        <v>2056.4354044302822</v>
      </c>
      <c r="BB37" s="282">
        <f>SUM(AY37:BA37)</f>
        <v>6169.3062132908472</v>
      </c>
      <c r="BC37" s="74"/>
      <c r="BD37" s="70">
        <f t="shared" si="167"/>
        <v>2764.7172455365085</v>
      </c>
      <c r="BE37" s="70">
        <f t="shared" si="168"/>
        <v>2764.7172455365085</v>
      </c>
      <c r="BF37" s="70">
        <f t="shared" si="169"/>
        <v>2764.7172455365085</v>
      </c>
      <c r="BG37" s="282">
        <f>SUM(BD37:BF37)</f>
        <v>8294.151736609525</v>
      </c>
      <c r="BH37" s="74"/>
      <c r="BI37" s="70">
        <f t="shared" si="170"/>
        <v>3556.652104746096</v>
      </c>
      <c r="BJ37" s="70">
        <f t="shared" si="171"/>
        <v>3556.652104746096</v>
      </c>
      <c r="BK37" s="70">
        <f t="shared" si="172"/>
        <v>3556.652104746096</v>
      </c>
      <c r="BL37" s="282">
        <f>SUM(BI37:BK37)</f>
        <v>10669.956314238289</v>
      </c>
      <c r="BM37" s="74"/>
      <c r="BN37" s="70">
        <f t="shared" si="173"/>
        <v>4441.88482946775</v>
      </c>
      <c r="BO37" s="70">
        <f t="shared" si="174"/>
        <v>4441.88482946775</v>
      </c>
      <c r="BP37" s="70">
        <f t="shared" si="175"/>
        <v>4441.88482946775</v>
      </c>
      <c r="BQ37" s="282">
        <f>SUM(BN37:BP37)</f>
        <v>13325.65448840325</v>
      </c>
      <c r="BR37" s="74"/>
      <c r="BS37" s="70">
        <f t="shared" si="176"/>
        <v>5474.6699333066708</v>
      </c>
      <c r="BT37" s="70">
        <f t="shared" si="177"/>
        <v>5474.6699333066708</v>
      </c>
      <c r="BU37" s="70">
        <f t="shared" si="178"/>
        <v>5474.6699333066708</v>
      </c>
      <c r="BV37" s="282">
        <f>SUM(BS37:BU37)</f>
        <v>16424.009799920012</v>
      </c>
      <c r="BW37" s="74"/>
      <c r="BX37" s="70">
        <f t="shared" si="179"/>
        <v>6715.5587234316272</v>
      </c>
      <c r="BY37" s="70">
        <f t="shared" si="180"/>
        <v>6715.5587234316272</v>
      </c>
      <c r="BZ37" s="70">
        <f t="shared" si="181"/>
        <v>6715.5587234316272</v>
      </c>
      <c r="CA37" s="282">
        <f>SUM(BX37:BZ37)</f>
        <v>20146.676170294882</v>
      </c>
      <c r="CB37" s="74"/>
      <c r="CC37" s="70">
        <f t="shared" si="182"/>
        <v>8230.4662162921868</v>
      </c>
      <c r="CD37" s="70">
        <f t="shared" si="183"/>
        <v>8230.4662162921868</v>
      </c>
      <c r="CE37" s="70">
        <f t="shared" si="184"/>
        <v>8230.4662162921868</v>
      </c>
      <c r="CF37" s="282">
        <f>SUM(CC37:CE37)</f>
        <v>24691.398648876559</v>
      </c>
      <c r="CG37" s="88"/>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1" t="s">
        <v>206</v>
      </c>
      <c r="B38" s="281">
        <v>2000</v>
      </c>
      <c r="C38" s="305">
        <v>5000</v>
      </c>
      <c r="D38" s="116"/>
      <c r="E38" s="119"/>
      <c r="F38" s="104">
        <f>SUM((IF(ISBLANK(D38),B38,D38)))</f>
        <v>2000</v>
      </c>
      <c r="G38" s="70">
        <f>SUM((IF(ISBLANK(D38),B38,D38)))</f>
        <v>2000</v>
      </c>
      <c r="H38" s="70">
        <f>SUM((IF(ISBLANK(D38),B38,D38)))</f>
        <v>2000</v>
      </c>
      <c r="I38" s="70">
        <f>SUM((IF(ISBLANK(D38),B38,D38)))</f>
        <v>2000</v>
      </c>
      <c r="J38" s="282">
        <f t="shared" si="146"/>
        <v>24000</v>
      </c>
      <c r="K38" s="70">
        <f>SUM((IF(ISBLANK(D38),B38,D38))+(IF(ISBLANK(E38),C38,E38)))</f>
        <v>7000</v>
      </c>
      <c r="L38" s="70">
        <f>SUM((IF(ISBLANK(D38),B38,D38))+(IF(ISBLANK(E38),C38,E38)))</f>
        <v>7000</v>
      </c>
      <c r="M38" s="70">
        <f>SUM((IF(ISBLANK(D38),B38,D38))+(IF(ISBLANK(E38),C38,E38)))</f>
        <v>7000</v>
      </c>
      <c r="N38" s="70">
        <f>SUM((IF(ISBLANK(D38),B38,D38))+(IF(ISBLANK(E38),C38,E38)))</f>
        <v>7000</v>
      </c>
      <c r="O38" s="282">
        <f t="shared" si="147"/>
        <v>84000</v>
      </c>
      <c r="P38" s="70">
        <f>SUM((IF(ISBLANK(D38),B38,D38))+(IF(ISBLANK(E38),C38,E38)))</f>
        <v>7000</v>
      </c>
      <c r="Q38" s="70">
        <f>SUM((IF(ISBLANK(D38),B38,D38))+(IF(ISBLANK(E38),C38,E38)))</f>
        <v>7000</v>
      </c>
      <c r="R38" s="70">
        <f>SUM((IF(ISBLANK(D38),B38,D38))+(IF(ISBLANK(E38),C38,E38)))</f>
        <v>7000</v>
      </c>
      <c r="S38" s="70">
        <f>SUM((IF(ISBLANK(D38),B38,D38))+(IF(ISBLANK(E38),C38,E38)))</f>
        <v>7000</v>
      </c>
      <c r="T38" s="305">
        <f t="shared" si="148"/>
        <v>84000</v>
      </c>
      <c r="U38" s="281">
        <f>SUM(S38*12)</f>
        <v>84000</v>
      </c>
      <c r="V38" s="282">
        <f>SUM(S38*12)</f>
        <v>84000</v>
      </c>
      <c r="W38" s="283">
        <f>SUM(S38*12)</f>
        <v>84000</v>
      </c>
      <c r="X38" s="177"/>
      <c r="Y38" s="505">
        <v>45000</v>
      </c>
      <c r="Z38" s="70">
        <f t="shared" si="149"/>
        <v>2000</v>
      </c>
      <c r="AA38" s="70">
        <f t="shared" si="150"/>
        <v>2000</v>
      </c>
      <c r="AB38" s="70">
        <f t="shared" si="151"/>
        <v>2000</v>
      </c>
      <c r="AC38" s="282">
        <f t="shared" si="134"/>
        <v>6000</v>
      </c>
      <c r="AD38" s="74"/>
      <c r="AE38" s="70">
        <f t="shared" si="152"/>
        <v>2000</v>
      </c>
      <c r="AF38" s="70">
        <f t="shared" si="153"/>
        <v>2000</v>
      </c>
      <c r="AG38" s="70">
        <f t="shared" si="154"/>
        <v>2000</v>
      </c>
      <c r="AH38" s="282">
        <f t="shared" si="135"/>
        <v>6000</v>
      </c>
      <c r="AI38" s="74"/>
      <c r="AJ38" s="70">
        <f t="shared" si="155"/>
        <v>2000</v>
      </c>
      <c r="AK38" s="70">
        <f t="shared" si="156"/>
        <v>2000</v>
      </c>
      <c r="AL38" s="70">
        <f t="shared" si="157"/>
        <v>2000</v>
      </c>
      <c r="AM38" s="282">
        <f t="shared" si="136"/>
        <v>6000</v>
      </c>
      <c r="AN38" s="74"/>
      <c r="AO38" s="70">
        <f t="shared" si="158"/>
        <v>2000</v>
      </c>
      <c r="AP38" s="70">
        <f t="shared" si="159"/>
        <v>2000</v>
      </c>
      <c r="AQ38" s="70">
        <f t="shared" si="160"/>
        <v>2000</v>
      </c>
      <c r="AR38" s="282">
        <f t="shared" si="137"/>
        <v>6000</v>
      </c>
      <c r="AS38" s="74"/>
      <c r="AT38" s="70">
        <f t="shared" si="161"/>
        <v>7000</v>
      </c>
      <c r="AU38" s="70">
        <f t="shared" si="162"/>
        <v>7000</v>
      </c>
      <c r="AV38" s="70">
        <f t="shared" si="163"/>
        <v>7000</v>
      </c>
      <c r="AW38" s="282">
        <f t="shared" si="138"/>
        <v>21000</v>
      </c>
      <c r="AX38" s="74"/>
      <c r="AY38" s="70">
        <f t="shared" si="164"/>
        <v>7000</v>
      </c>
      <c r="AZ38" s="70">
        <f t="shared" si="165"/>
        <v>7000</v>
      </c>
      <c r="BA38" s="70">
        <f t="shared" si="166"/>
        <v>7000</v>
      </c>
      <c r="BB38" s="282">
        <f t="shared" si="139"/>
        <v>21000</v>
      </c>
      <c r="BC38" s="74"/>
      <c r="BD38" s="70">
        <f t="shared" si="167"/>
        <v>7000</v>
      </c>
      <c r="BE38" s="70">
        <f t="shared" si="168"/>
        <v>7000</v>
      </c>
      <c r="BF38" s="70">
        <f t="shared" si="169"/>
        <v>7000</v>
      </c>
      <c r="BG38" s="282">
        <f t="shared" si="140"/>
        <v>21000</v>
      </c>
      <c r="BH38" s="74"/>
      <c r="BI38" s="70">
        <f t="shared" si="170"/>
        <v>7000</v>
      </c>
      <c r="BJ38" s="70">
        <f t="shared" si="171"/>
        <v>7000</v>
      </c>
      <c r="BK38" s="70">
        <f t="shared" si="172"/>
        <v>7000</v>
      </c>
      <c r="BL38" s="282">
        <f t="shared" si="141"/>
        <v>21000</v>
      </c>
      <c r="BM38" s="74"/>
      <c r="BN38" s="70">
        <f t="shared" si="173"/>
        <v>7000</v>
      </c>
      <c r="BO38" s="70">
        <f t="shared" si="174"/>
        <v>7000</v>
      </c>
      <c r="BP38" s="70">
        <f t="shared" si="175"/>
        <v>7000</v>
      </c>
      <c r="BQ38" s="282">
        <f t="shared" si="142"/>
        <v>21000</v>
      </c>
      <c r="BR38" s="74"/>
      <c r="BS38" s="70">
        <f t="shared" si="176"/>
        <v>7000</v>
      </c>
      <c r="BT38" s="70">
        <f t="shared" si="177"/>
        <v>7000</v>
      </c>
      <c r="BU38" s="70">
        <f t="shared" si="178"/>
        <v>7000</v>
      </c>
      <c r="BV38" s="282">
        <f t="shared" si="143"/>
        <v>21000</v>
      </c>
      <c r="BW38" s="74"/>
      <c r="BX38" s="70">
        <f t="shared" si="179"/>
        <v>7000</v>
      </c>
      <c r="BY38" s="70">
        <f t="shared" si="180"/>
        <v>7000</v>
      </c>
      <c r="BZ38" s="70">
        <f t="shared" si="181"/>
        <v>7000</v>
      </c>
      <c r="CA38" s="282">
        <f t="shared" si="144"/>
        <v>21000</v>
      </c>
      <c r="CB38" s="74"/>
      <c r="CC38" s="70">
        <f t="shared" si="182"/>
        <v>7000</v>
      </c>
      <c r="CD38" s="70">
        <f t="shared" si="183"/>
        <v>7000</v>
      </c>
      <c r="CE38" s="70">
        <f t="shared" si="184"/>
        <v>7000</v>
      </c>
      <c r="CF38" s="282">
        <f t="shared" si="145"/>
        <v>21000</v>
      </c>
      <c r="CG38" s="88"/>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1" t="s">
        <v>271</v>
      </c>
      <c r="B39" s="260">
        <v>0.2</v>
      </c>
      <c r="C39" s="293">
        <v>0</v>
      </c>
      <c r="D39" s="118"/>
      <c r="E39" s="117"/>
      <c r="F39" s="130">
        <v>0</v>
      </c>
      <c r="G39" s="70">
        <f>IF(IF(F30&gt;0,F30*((0*(IF(ISBLANK(E39),C39,E39)))+(IF(ISBLANK(D39),B39,D39))),0)&lt;0,0,IF(F30&gt;0,F30*((0*(IF(ISBLANK(E39),C39,E39)))+(IF(ISBLANK(D39),B39,D39))),0))/3</f>
        <v>0</v>
      </c>
      <c r="H39" s="70">
        <f>IF(IF(G30&gt;0,G30*((0*(IF(ISBLANK(E39),C39,E39)))+(IF(ISBLANK(D39),B39,D39))),0)&lt;0,0,IF(G30&gt;0,G30*((0*(IF(ISBLANK(E39),C39,E39)))+(IF(ISBLANK(D39),B39,D39))),0))/3</f>
        <v>0</v>
      </c>
      <c r="I39" s="70">
        <f>IF(IF(H30&gt;0,H30*((1*(IF(ISBLANK(E39),C39,E39)))+(IF(ISBLANK(D39),B39,D39))),0)&lt;0,0,IF(H30&gt;0,H30*((1*(IF(ISBLANK(E39),C39,E39)))+(IF(ISBLANK(D39),B39,D39))),0))/3</f>
        <v>318.79760631686418</v>
      </c>
      <c r="J39" s="282">
        <f t="shared" si="146"/>
        <v>956.39281895059253</v>
      </c>
      <c r="K39" s="70">
        <f>IF(IF(I30&gt;0,I30*((2*(IF(ISBLANK(E39),C39,E39)))+(IF(ISBLANK(D39),B39,D39))),0)&lt;0,0,IF(I30&gt;0,I30*((2*(IF(ISBLANK(E39),C39,E39)))+(IF(ISBLANK(D39),B39,D39))),0))/3</f>
        <v>1076.9651065040714</v>
      </c>
      <c r="L39" s="70">
        <f>IF(IF(K30&gt;0,K30*((3*(IF(ISBLANK(E39),C39,E39)))+(IF(ISBLANK(D39),B39,D39))),0)&lt;0,0,IF(K30&gt;0,K30*((3*(IF(ISBLANK(E39),C39,E39)))+(IF(ISBLANK(D39),B39,D39))),0))/3</f>
        <v>1749.1894018529708</v>
      </c>
      <c r="M39" s="70">
        <f>IF(IF(L30&gt;0,L30*((4*(IF(ISBLANK(E39),C39,E39)))+(IF(ISBLANK(D39),B39,D39))),0)&lt;0,0,IF(L30&gt;0,L30*((4*(IF(ISBLANK(E39),C39,E39)))+(IF(ISBLANK(D39),B39,D39))),0))/3</f>
        <v>2561.5248020096501</v>
      </c>
      <c r="N39" s="70">
        <f>IF(IF(M30&gt;0,M30*((5*(IF(ISBLANK(E39),C39,E39)))+(IF(ISBLANK(D39),B39,D39))),0)&lt;0,0,IF(M30&gt;0,M30*((5*(IF(ISBLANK(E39),C39,E39)))+(IF(ISBLANK(D39),B39,D39))),0))/3</f>
        <v>3476.8413845383366</v>
      </c>
      <c r="O39" s="282">
        <f t="shared" si="147"/>
        <v>26593.562084715086</v>
      </c>
      <c r="P39" s="70">
        <f>IF(IF(N30&gt;0,N30*((6*(IF(ISBLANK(E39),C39,E39)))+(IF(ISBLANK(D39),B39,D39))),0)&lt;0,0,IF(N30&gt;0,N30*((6*(IF(ISBLANK(E39),C39,E39)))+(IF(ISBLANK(D39),B39,D39))),0))/3</f>
        <v>4505.0926660117211</v>
      </c>
      <c r="Q39" s="70">
        <f>IF(IF(P30&gt;0,P30*((7*(IF(ISBLANK(E39),C39,E39)))+(IF(ISBLANK(D39),B39,D39))),0)&lt;0,0,IF(P30&gt;0,P30*((7*(IF(ISBLANK(E39),C39,E39)))+(IF(ISBLANK(D39),B39,D39))),0))/3</f>
        <v>5658.1151994410639</v>
      </c>
      <c r="R39" s="70">
        <f>IF(IF(Q30&gt;0,Q30*((8*(IF(ISBLANK(E39),C39,E39)))+(IF(ISBLANK(D39),B39,D39))),0)&lt;0,0,IF(Q30&gt;0,Q30*((8*(IF(ISBLANK(E39),C39,E39)))+(IF(ISBLANK(D39),B39,D39))),0))/3</f>
        <v>7005.2228178870309</v>
      </c>
      <c r="S39" s="70">
        <f>IF(IF(R30&gt;0,R30*((9*(IF(ISBLANK(E39),C39,E39)))+(IF(ISBLANK(D39),B39,D39))),0)&lt;0,0,IF(R30&gt;0,R30*((9*(IF(ISBLANK(E39),C39,E39)))+(IF(ISBLANK(D39),B39,D39))),0))/3</f>
        <v>8624.8842428386615</v>
      </c>
      <c r="T39" s="305">
        <f t="shared" si="148"/>
        <v>77379.944778535428</v>
      </c>
      <c r="U39" s="281">
        <f>SUM((U30*(IF(ISBLANK(D39),B39,D39)+(10*IF(ISBLANK(E39),C39,E39))))+(S30*(IF(ISBLANK(D39),B39,D39)+(10*IF(ISBLANK(E39),C39,E39)))))</f>
        <v>328208.51337015146</v>
      </c>
      <c r="V39" s="282">
        <f>SUM((V30*(IF(ISBLANK(D39),B39,D39)+(11*IF(ISBLANK(E39),C39,E39)))))</f>
        <v>738982.08248973591</v>
      </c>
      <c r="W39" s="283">
        <f>SUM((W30*(IF(ISBLANK(D39),B39,D39)+(12*IF(ISBLANK(E39),C39,E39)))))</f>
        <v>1347150.2811405573</v>
      </c>
      <c r="X39" s="177"/>
      <c r="Y39" s="505">
        <v>0</v>
      </c>
      <c r="Z39" s="70">
        <f>F39</f>
        <v>0</v>
      </c>
      <c r="AA39" s="70">
        <f>F39</f>
        <v>0</v>
      </c>
      <c r="AB39" s="70">
        <f>F39</f>
        <v>0</v>
      </c>
      <c r="AC39" s="282">
        <f t="shared" si="134"/>
        <v>0</v>
      </c>
      <c r="AD39" s="74"/>
      <c r="AE39" s="70">
        <f>G39</f>
        <v>0</v>
      </c>
      <c r="AF39" s="70">
        <f>G39</f>
        <v>0</v>
      </c>
      <c r="AG39" s="70">
        <f>G39</f>
        <v>0</v>
      </c>
      <c r="AH39" s="282">
        <f t="shared" si="135"/>
        <v>0</v>
      </c>
      <c r="AI39" s="74"/>
      <c r="AJ39" s="70">
        <f>H39</f>
        <v>0</v>
      </c>
      <c r="AK39" s="70">
        <f>H39</f>
        <v>0</v>
      </c>
      <c r="AL39" s="70">
        <f>H39</f>
        <v>0</v>
      </c>
      <c r="AM39" s="282">
        <f t="shared" si="136"/>
        <v>0</v>
      </c>
      <c r="AN39" s="74"/>
      <c r="AO39" s="70">
        <f>I39</f>
        <v>318.79760631686418</v>
      </c>
      <c r="AP39" s="70">
        <f>I39</f>
        <v>318.79760631686418</v>
      </c>
      <c r="AQ39" s="70">
        <f>I39</f>
        <v>318.79760631686418</v>
      </c>
      <c r="AR39" s="282">
        <f t="shared" si="137"/>
        <v>956.39281895059253</v>
      </c>
      <c r="AS39" s="74"/>
      <c r="AT39" s="70">
        <f>K39</f>
        <v>1076.9651065040714</v>
      </c>
      <c r="AU39" s="70">
        <f>K39</f>
        <v>1076.9651065040714</v>
      </c>
      <c r="AV39" s="70">
        <f>K39</f>
        <v>1076.9651065040714</v>
      </c>
      <c r="AW39" s="282">
        <f t="shared" si="138"/>
        <v>3230.895319512214</v>
      </c>
      <c r="AX39" s="74"/>
      <c r="AY39" s="70">
        <f>L39</f>
        <v>1749.1894018529708</v>
      </c>
      <c r="AZ39" s="70">
        <f>L39</f>
        <v>1749.1894018529708</v>
      </c>
      <c r="BA39" s="70">
        <f>L39</f>
        <v>1749.1894018529708</v>
      </c>
      <c r="BB39" s="282">
        <f t="shared" si="139"/>
        <v>5247.5682055589123</v>
      </c>
      <c r="BC39" s="74"/>
      <c r="BD39" s="70">
        <f>M39</f>
        <v>2561.5248020096501</v>
      </c>
      <c r="BE39" s="70">
        <f>M39</f>
        <v>2561.5248020096501</v>
      </c>
      <c r="BF39" s="70">
        <f>M39</f>
        <v>2561.5248020096501</v>
      </c>
      <c r="BG39" s="282">
        <f t="shared" si="140"/>
        <v>7684.5744060289508</v>
      </c>
      <c r="BH39" s="74"/>
      <c r="BI39" s="70">
        <f>N39</f>
        <v>3476.8413845383366</v>
      </c>
      <c r="BJ39" s="70">
        <f>N39</f>
        <v>3476.8413845383366</v>
      </c>
      <c r="BK39" s="70">
        <f>N39</f>
        <v>3476.8413845383366</v>
      </c>
      <c r="BL39" s="282">
        <f t="shared" si="141"/>
        <v>10430.52415361501</v>
      </c>
      <c r="BM39" s="74"/>
      <c r="BN39" s="70">
        <f>P39</f>
        <v>4505.0926660117211</v>
      </c>
      <c r="BO39" s="70">
        <f>P39</f>
        <v>4505.0926660117211</v>
      </c>
      <c r="BP39" s="70">
        <f>P39</f>
        <v>4505.0926660117211</v>
      </c>
      <c r="BQ39" s="282">
        <f t="shared" si="142"/>
        <v>13515.277998035162</v>
      </c>
      <c r="BR39" s="74"/>
      <c r="BS39" s="70">
        <f>Q39</f>
        <v>5658.1151994410639</v>
      </c>
      <c r="BT39" s="70">
        <f>Q39</f>
        <v>5658.1151994410639</v>
      </c>
      <c r="BU39" s="70">
        <f>Q39</f>
        <v>5658.1151994410639</v>
      </c>
      <c r="BV39" s="282">
        <f t="shared" si="143"/>
        <v>16974.345598323191</v>
      </c>
      <c r="BW39" s="74"/>
      <c r="BX39" s="70">
        <f>R39</f>
        <v>7005.2228178870309</v>
      </c>
      <c r="BY39" s="70">
        <f>R39</f>
        <v>7005.2228178870309</v>
      </c>
      <c r="BZ39" s="70">
        <f>R39</f>
        <v>7005.2228178870309</v>
      </c>
      <c r="CA39" s="282">
        <f t="shared" si="144"/>
        <v>21015.668453661092</v>
      </c>
      <c r="CB39" s="74"/>
      <c r="CC39" s="70">
        <f>S39</f>
        <v>8624.8842428386615</v>
      </c>
      <c r="CD39" s="70">
        <f>S39</f>
        <v>8624.8842428386615</v>
      </c>
      <c r="CE39" s="70">
        <f>S39</f>
        <v>8624.8842428386615</v>
      </c>
      <c r="CF39" s="282">
        <f t="shared" si="145"/>
        <v>25874.652728515983</v>
      </c>
      <c r="CG39" s="88"/>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1" t="s">
        <v>272</v>
      </c>
      <c r="B40" s="260">
        <v>0.25</v>
      </c>
      <c r="C40" s="293">
        <v>0</v>
      </c>
      <c r="D40" s="118"/>
      <c r="E40" s="117"/>
      <c r="F40" s="130">
        <v>0</v>
      </c>
      <c r="G40" s="70">
        <f>IF(IF(F49&gt;0,F49*((0*(IF(ISBLANK(E40),C40,E40)))+(IF(ISBLANK(D40),B40,D40))),0)&lt;0,0,IF(F49&gt;0,F49*((0*(IF(ISBLANK(E40),C40,E40)))+(IF(ISBLANK(D40),B40,D40))),0))/3</f>
        <v>0</v>
      </c>
      <c r="H40" s="70">
        <f>IF(IF(G49&gt;0,G49*((0*(IF(ISBLANK(E40),C40,E40)))+(IF(ISBLANK(D40),B40,D40))),0)&lt;0,0,IF(G49&gt;0,G49*((0*(IF(ISBLANK(E40),C40,E40)))+(IF(ISBLANK(D40),B40,D40))),0))/3</f>
        <v>0</v>
      </c>
      <c r="I40" s="70">
        <f>IF(IF(H49&gt;0,H49*((1*(IF(ISBLANK(E40),C40,E40)))+(IF(ISBLANK(D40),B40,D40))),0)&lt;0,0,IF(H49&gt;0,H49*((1*(IF(ISBLANK(E40),C40,E40)))+(IF(ISBLANK(D40),B40,D40))),0))/3</f>
        <v>0</v>
      </c>
      <c r="J40" s="282">
        <f t="shared" si="146"/>
        <v>0</v>
      </c>
      <c r="K40" s="70">
        <f>IF(IF(I49&gt;0,I49*((2*(IF(ISBLANK(E40),C40,E40)))+(IF(ISBLANK(D40),B40,D40))),0)&lt;0,0,IF(I49&gt;0,I49*((2*(IF(ISBLANK(E40),C40,E40)))+(IF(ISBLANK(D40),B40,D40))),0))/3</f>
        <v>0</v>
      </c>
      <c r="L40" s="70">
        <f>IF(IF(K49&gt;0,K49*((3*(IF(ISBLANK(E40),C40,E40)))+(IF(ISBLANK(D40),B40,D40))),0)&lt;0,0,IF(K49&gt;0,K49*((3*(IF(ISBLANK(E40),C40,E40)))+(IF(ISBLANK(D40),B40,D40))),0))/3</f>
        <v>0</v>
      </c>
      <c r="M40" s="70">
        <f>IF(IF(L49&gt;0,L49*((4*(IF(ISBLANK(E40),C40,E40)))+(IF(ISBLANK(D40),B40,D40))),0)&lt;0,0,IF(L49&gt;0,L49*((4*(IF(ISBLANK(E40),C40,E40)))+(IF(ISBLANK(D40),B40,D40))),0))/3</f>
        <v>0</v>
      </c>
      <c r="N40" s="70">
        <f>IF(IF(M49&gt;0,M49*((5*(IF(ISBLANK(E40),C40,E40)))+(IF(ISBLANK(D40),B40,D40))),0)&lt;0,0,IF(M49&gt;0,M49*((5*(IF(ISBLANK(E40),C40,E40)))+(IF(ISBLANK(D40),B40,D40))),0))/3</f>
        <v>0</v>
      </c>
      <c r="O40" s="282">
        <f t="shared" si="147"/>
        <v>0</v>
      </c>
      <c r="P40" s="70">
        <f>IF(IF(N49&gt;0,N49*((6*(IF(ISBLANK(E40),C40,E40)))+(IF(ISBLANK(D40),B40,D40))),0)&lt;0,0,IF(N49&gt;0,N49*((6*(IF(ISBLANK(E40),C40,E40)))+(IF(ISBLANK(D40),B40,D40))),0))/3</f>
        <v>0</v>
      </c>
      <c r="Q40" s="70">
        <f>IF(IF(P49&gt;0,P49*((7*(IF(ISBLANK(E40),C40,E40)))+(IF(ISBLANK(D40),B40,D40))),0)&lt;0,0,IF(P49&gt;0,P49*((7*(IF(ISBLANK(E40),C40,E40)))+(IF(ISBLANK(D40),B40,D40))),0))/3</f>
        <v>0</v>
      </c>
      <c r="R40" s="70">
        <f>IF(IF(Q49&gt;0,Q49*((8*(IF(ISBLANK(E40),C40,E40)))+(IF(ISBLANK(D40),B40,D40))),0)&lt;0,0,IF(Q49&gt;0,Q49*((8*(IF(ISBLANK(E40),C40,E40)))+(IF(ISBLANK(D40),B40,D40))),0))/3</f>
        <v>0</v>
      </c>
      <c r="S40" s="70">
        <f>IF(IF(R49&gt;0,R49*((9*(IF(ISBLANK(E40),C40,E40)))+(IF(ISBLANK(D40),B40,D40))),0)&lt;0,0,IF(R49&gt;0,R49*((9*(IF(ISBLANK(E40),C40,E40)))+(IF(ISBLANK(D40),B40,D40))),0))/3</f>
        <v>0</v>
      </c>
      <c r="T40" s="305">
        <f t="shared" si="148"/>
        <v>0</v>
      </c>
      <c r="U40" s="281">
        <f>SUM(IF(S49&lt;0,0,S49*((10*(IF(ISBLANK(E40),C40,E40)))+(IF(ISBLANK(D40),B40,D40)))))</f>
        <v>0</v>
      </c>
      <c r="V40" s="282">
        <f>SUM(IF(U49&lt;0,0,U49*((11*(IF(ISBLANK(E40),C40,E40)))+(IF(ISBLANK(D40),B40,D40)))))</f>
        <v>95103.181496478675</v>
      </c>
      <c r="W40" s="283">
        <f>SUM(IF(V49&lt;0,0,V49*((12*(IF(ISBLANK(E40),C40,E40)))+(IF(ISBLANK(D40),B40,D40)))))</f>
        <v>349575.39882215043</v>
      </c>
      <c r="X40" s="177"/>
      <c r="Y40" s="505">
        <v>0</v>
      </c>
      <c r="Z40" s="70">
        <f>F40</f>
        <v>0</v>
      </c>
      <c r="AA40" s="70">
        <f>F40</f>
        <v>0</v>
      </c>
      <c r="AB40" s="70">
        <f>F40</f>
        <v>0</v>
      </c>
      <c r="AC40" s="282">
        <f t="shared" si="134"/>
        <v>0</v>
      </c>
      <c r="AD40" s="74"/>
      <c r="AE40" s="70">
        <f>G40</f>
        <v>0</v>
      </c>
      <c r="AF40" s="70">
        <f>G40</f>
        <v>0</v>
      </c>
      <c r="AG40" s="70">
        <f>G40</f>
        <v>0</v>
      </c>
      <c r="AH40" s="282">
        <f t="shared" si="135"/>
        <v>0</v>
      </c>
      <c r="AI40" s="74"/>
      <c r="AJ40" s="70">
        <f>H40</f>
        <v>0</v>
      </c>
      <c r="AK40" s="70">
        <f>H40</f>
        <v>0</v>
      </c>
      <c r="AL40" s="70">
        <f>H40</f>
        <v>0</v>
      </c>
      <c r="AM40" s="282">
        <f t="shared" si="136"/>
        <v>0</v>
      </c>
      <c r="AN40" s="74"/>
      <c r="AO40" s="70">
        <f>I40</f>
        <v>0</v>
      </c>
      <c r="AP40" s="70">
        <f>I40</f>
        <v>0</v>
      </c>
      <c r="AQ40" s="70">
        <f>I40</f>
        <v>0</v>
      </c>
      <c r="AR40" s="282">
        <f t="shared" si="137"/>
        <v>0</v>
      </c>
      <c r="AS40" s="74"/>
      <c r="AT40" s="70">
        <f>K40</f>
        <v>0</v>
      </c>
      <c r="AU40" s="70">
        <f>K40</f>
        <v>0</v>
      </c>
      <c r="AV40" s="70">
        <f>K40</f>
        <v>0</v>
      </c>
      <c r="AW40" s="282">
        <f t="shared" si="138"/>
        <v>0</v>
      </c>
      <c r="AX40" s="74"/>
      <c r="AY40" s="70">
        <f>L40</f>
        <v>0</v>
      </c>
      <c r="AZ40" s="70">
        <f>L40</f>
        <v>0</v>
      </c>
      <c r="BA40" s="70">
        <f>L40</f>
        <v>0</v>
      </c>
      <c r="BB40" s="282">
        <f t="shared" si="139"/>
        <v>0</v>
      </c>
      <c r="BC40" s="74"/>
      <c r="BD40" s="70">
        <f>M40</f>
        <v>0</v>
      </c>
      <c r="BE40" s="70">
        <f>M40</f>
        <v>0</v>
      </c>
      <c r="BF40" s="70">
        <f>M40</f>
        <v>0</v>
      </c>
      <c r="BG40" s="282">
        <f t="shared" si="140"/>
        <v>0</v>
      </c>
      <c r="BH40" s="74"/>
      <c r="BI40" s="70">
        <f>N40</f>
        <v>0</v>
      </c>
      <c r="BJ40" s="70">
        <f>N40</f>
        <v>0</v>
      </c>
      <c r="BK40" s="70">
        <f>N40</f>
        <v>0</v>
      </c>
      <c r="BL40" s="282">
        <f t="shared" si="141"/>
        <v>0</v>
      </c>
      <c r="BM40" s="74"/>
      <c r="BN40" s="70">
        <f>P40</f>
        <v>0</v>
      </c>
      <c r="BO40" s="70">
        <f>P40</f>
        <v>0</v>
      </c>
      <c r="BP40" s="70">
        <f>P40</f>
        <v>0</v>
      </c>
      <c r="BQ40" s="282">
        <f t="shared" si="142"/>
        <v>0</v>
      </c>
      <c r="BR40" s="74"/>
      <c r="BS40" s="70">
        <f>Q40</f>
        <v>0</v>
      </c>
      <c r="BT40" s="70">
        <f>Q40</f>
        <v>0</v>
      </c>
      <c r="BU40" s="70">
        <f>Q40</f>
        <v>0</v>
      </c>
      <c r="BV40" s="282">
        <f t="shared" si="143"/>
        <v>0</v>
      </c>
      <c r="BW40" s="74"/>
      <c r="BX40" s="70">
        <f>R40</f>
        <v>0</v>
      </c>
      <c r="BY40" s="70">
        <f>R40</f>
        <v>0</v>
      </c>
      <c r="BZ40" s="70">
        <f>R40</f>
        <v>0</v>
      </c>
      <c r="CA40" s="282">
        <f t="shared" si="144"/>
        <v>0</v>
      </c>
      <c r="CB40" s="74"/>
      <c r="CC40" s="70">
        <f>S40</f>
        <v>0</v>
      </c>
      <c r="CD40" s="70">
        <f>S40</f>
        <v>0</v>
      </c>
      <c r="CE40" s="70">
        <f>S40</f>
        <v>0</v>
      </c>
      <c r="CF40" s="282">
        <f t="shared" si="145"/>
        <v>0</v>
      </c>
      <c r="CG40" s="88"/>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1" t="s">
        <v>273</v>
      </c>
      <c r="B41" s="363">
        <v>1000</v>
      </c>
      <c r="C41" s="481">
        <v>0</v>
      </c>
      <c r="D41" s="116"/>
      <c r="E41" s="119"/>
      <c r="F41" s="104">
        <f>IF(ISBLANK(D41),B41,D41)</f>
        <v>1000</v>
      </c>
      <c r="G41" s="70">
        <f>SUM((IF(F49&gt;0,IF(ISBLANK(E41),C41,E41),0)+F41))</f>
        <v>1000</v>
      </c>
      <c r="H41" s="70">
        <f>SUM((IF(G49&gt;0,IF(ISBLANK(E41),C41,E41),0)+G41))</f>
        <v>1000</v>
      </c>
      <c r="I41" s="70">
        <f>SUM((IF(H49&gt;0,IF(ISBLANK(E41),C41,E41),0)+H41))</f>
        <v>1000</v>
      </c>
      <c r="J41" s="282">
        <f t="shared" si="146"/>
        <v>12000</v>
      </c>
      <c r="K41" s="70">
        <f>SUM((IF(I49&gt;0,IF(ISBLANK(E41),C41,E41),0)+I41))</f>
        <v>1000</v>
      </c>
      <c r="L41" s="70">
        <f>SUM((IF(K49&gt;0,IF(ISBLANK(E41),C41,E41),0)+K41))</f>
        <v>1000</v>
      </c>
      <c r="M41" s="70">
        <f>SUM((IF(L49&gt;0,IF(ISBLANK(E41),C41,E41),0)+L41))</f>
        <v>1000</v>
      </c>
      <c r="N41" s="70">
        <f>SUM((IF(M49&gt;0,IF(ISBLANK(E41),C41,E41),0)+M41))</f>
        <v>1000</v>
      </c>
      <c r="O41" s="282">
        <f t="shared" si="147"/>
        <v>12000</v>
      </c>
      <c r="P41" s="70">
        <f>SUM((IF(N49&gt;0,IF(ISBLANK(E41),C41,E41),0)+N41))</f>
        <v>1000</v>
      </c>
      <c r="Q41" s="70">
        <f>SUM((IF(P49&gt;0,IF(ISBLANK(E41),C41,E41),0)+P41))</f>
        <v>1000</v>
      </c>
      <c r="R41" s="70">
        <f>SUM((IF(Q49&gt;0,IF(ISBLANK(E41),C41,E41),0)+Q41))</f>
        <v>1000</v>
      </c>
      <c r="S41" s="70">
        <f>SUM((IF(R49&gt;0,IF(ISBLANK(E41),C41,E41),0)+R41))</f>
        <v>1000</v>
      </c>
      <c r="T41" s="305">
        <f t="shared" si="148"/>
        <v>12000</v>
      </c>
      <c r="U41" s="281">
        <f>SUM((IF(S49&gt;0,IF(ISBLANK(E41),C41,E41),0)+S41))</f>
        <v>1000</v>
      </c>
      <c r="V41" s="282">
        <f>SUM((IF(U49&gt;0,IF(ISBLANK(E41),C41,E41),0)+U41))</f>
        <v>1000</v>
      </c>
      <c r="W41" s="283">
        <f>SUM((IF(V49&gt;0,IF(ISBLANK(E41),C41,E41),0)+V41))</f>
        <v>1000</v>
      </c>
      <c r="X41" s="177"/>
      <c r="Y41" s="505">
        <v>55000</v>
      </c>
      <c r="Z41" s="70">
        <f t="shared" si="149"/>
        <v>1000</v>
      </c>
      <c r="AA41" s="70">
        <f t="shared" si="150"/>
        <v>1000</v>
      </c>
      <c r="AB41" s="70">
        <f t="shared" si="151"/>
        <v>1000</v>
      </c>
      <c r="AC41" s="282">
        <f t="shared" si="134"/>
        <v>3000</v>
      </c>
      <c r="AD41" s="74"/>
      <c r="AE41" s="70">
        <f t="shared" si="152"/>
        <v>1000</v>
      </c>
      <c r="AF41" s="70">
        <f>G41</f>
        <v>1000</v>
      </c>
      <c r="AG41" s="70">
        <f>G41</f>
        <v>1000</v>
      </c>
      <c r="AH41" s="282">
        <f t="shared" si="135"/>
        <v>3000</v>
      </c>
      <c r="AI41" s="74"/>
      <c r="AJ41" s="70">
        <f>H41</f>
        <v>1000</v>
      </c>
      <c r="AK41" s="70">
        <f>H41</f>
        <v>1000</v>
      </c>
      <c r="AL41" s="70">
        <f>H41</f>
        <v>1000</v>
      </c>
      <c r="AM41" s="282">
        <f t="shared" si="136"/>
        <v>3000</v>
      </c>
      <c r="AN41" s="74"/>
      <c r="AO41" s="70">
        <f t="shared" si="158"/>
        <v>1000</v>
      </c>
      <c r="AP41" s="70">
        <f t="shared" si="159"/>
        <v>1000</v>
      </c>
      <c r="AQ41" s="70">
        <f t="shared" si="160"/>
        <v>1000</v>
      </c>
      <c r="AR41" s="282">
        <f t="shared" si="137"/>
        <v>3000</v>
      </c>
      <c r="AS41" s="74"/>
      <c r="AT41" s="70">
        <f t="shared" si="161"/>
        <v>1000</v>
      </c>
      <c r="AU41" s="70">
        <f t="shared" si="162"/>
        <v>1000</v>
      </c>
      <c r="AV41" s="70">
        <f t="shared" si="163"/>
        <v>1000</v>
      </c>
      <c r="AW41" s="282">
        <f t="shared" si="138"/>
        <v>3000</v>
      </c>
      <c r="AX41" s="74"/>
      <c r="AY41" s="70">
        <f t="shared" si="164"/>
        <v>1000</v>
      </c>
      <c r="AZ41" s="70">
        <f t="shared" si="165"/>
        <v>1000</v>
      </c>
      <c r="BA41" s="70">
        <f t="shared" si="166"/>
        <v>1000</v>
      </c>
      <c r="BB41" s="282">
        <f t="shared" si="139"/>
        <v>3000</v>
      </c>
      <c r="BC41" s="74"/>
      <c r="BD41" s="70">
        <f t="shared" si="167"/>
        <v>1000</v>
      </c>
      <c r="BE41" s="70">
        <f t="shared" si="168"/>
        <v>1000</v>
      </c>
      <c r="BF41" s="70">
        <f t="shared" si="169"/>
        <v>1000</v>
      </c>
      <c r="BG41" s="282">
        <f t="shared" si="140"/>
        <v>3000</v>
      </c>
      <c r="BH41" s="74"/>
      <c r="BI41" s="70">
        <f>N41</f>
        <v>1000</v>
      </c>
      <c r="BJ41" s="70">
        <f t="shared" si="171"/>
        <v>1000</v>
      </c>
      <c r="BK41" s="70">
        <f t="shared" si="172"/>
        <v>1000</v>
      </c>
      <c r="BL41" s="282">
        <f t="shared" si="141"/>
        <v>3000</v>
      </c>
      <c r="BM41" s="74"/>
      <c r="BN41" s="70">
        <f t="shared" si="173"/>
        <v>1000</v>
      </c>
      <c r="BO41" s="70">
        <f t="shared" si="174"/>
        <v>1000</v>
      </c>
      <c r="BP41" s="70">
        <f t="shared" si="175"/>
        <v>1000</v>
      </c>
      <c r="BQ41" s="282">
        <f t="shared" si="142"/>
        <v>3000</v>
      </c>
      <c r="BR41" s="74"/>
      <c r="BS41" s="70">
        <f t="shared" si="176"/>
        <v>1000</v>
      </c>
      <c r="BT41" s="70">
        <f t="shared" si="177"/>
        <v>1000</v>
      </c>
      <c r="BU41" s="70">
        <f t="shared" si="178"/>
        <v>1000</v>
      </c>
      <c r="BV41" s="282">
        <f t="shared" si="143"/>
        <v>3000</v>
      </c>
      <c r="BW41" s="74"/>
      <c r="BX41" s="70">
        <f t="shared" si="179"/>
        <v>1000</v>
      </c>
      <c r="BY41" s="70">
        <f t="shared" si="180"/>
        <v>1000</v>
      </c>
      <c r="BZ41" s="70">
        <f t="shared" si="181"/>
        <v>1000</v>
      </c>
      <c r="CA41" s="282">
        <f t="shared" si="144"/>
        <v>3000</v>
      </c>
      <c r="CB41" s="74"/>
      <c r="CC41" s="70">
        <f t="shared" si="182"/>
        <v>1000</v>
      </c>
      <c r="CD41" s="70">
        <f t="shared" si="183"/>
        <v>1000</v>
      </c>
      <c r="CE41" s="70">
        <f t="shared" si="184"/>
        <v>1000</v>
      </c>
      <c r="CF41" s="282">
        <f t="shared" si="145"/>
        <v>3000</v>
      </c>
      <c r="CG41" s="88"/>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1" t="s">
        <v>274</v>
      </c>
      <c r="B42" s="363">
        <v>1000</v>
      </c>
      <c r="C42" s="304">
        <v>0.01</v>
      </c>
      <c r="D42" s="116"/>
      <c r="E42" s="120"/>
      <c r="F42" s="104">
        <f>SUM((IF(ISBLANK(D42),B42,D42))+(IF(ISBLANK(E42),C42,E42)*F18))</f>
        <v>1020.7232628236161</v>
      </c>
      <c r="G42" s="70">
        <f>SUM((IF(ISBLANK(D42),B42,D42))+(IF(ISBLANK(E42),C42,E42)*G18))</f>
        <v>1049.2477787558867</v>
      </c>
      <c r="H42" s="70">
        <f>SUM((IF(ISBLANK(D42),B42,D42))+(IF(ISBLANK(E42),C42,E42)*H18))</f>
        <v>1092.9620693342149</v>
      </c>
      <c r="I42" s="70">
        <f>SUM((IF(ISBLANK(D42),B42,D42))+(IF(ISBLANK(E42),C42,E42)*I18))</f>
        <v>1123.8776509585041</v>
      </c>
      <c r="J42" s="282">
        <f t="shared" si="146"/>
        <v>12860.432285616665</v>
      </c>
      <c r="K42" s="70">
        <f>SUM((IF(ISBLANK(D42),B42,D42))+(IF(ISBLANK(E42),C42,E42)*K18))</f>
        <v>1158.7841723104011</v>
      </c>
      <c r="L42" s="70">
        <f>SUM((IF(ISBLANK(D42),B42,D42))+(IF(ISBLANK(E42),C42,E42)*L18))</f>
        <v>1189.686918975066</v>
      </c>
      <c r="M42" s="70">
        <f>SUM((IF(ISBLANK(D42),B42,D42))+(IF(ISBLANK(E42),C42,E42)*M18))</f>
        <v>1217.9216875269487</v>
      </c>
      <c r="N42" s="70">
        <f>SUM((IF(ISBLANK(D42),B42,D42))+(IF(ISBLANK(E42),C42,E42)*N18))</f>
        <v>1245.3184721494858</v>
      </c>
      <c r="O42" s="282">
        <f t="shared" si="147"/>
        <v>14435.133752885706</v>
      </c>
      <c r="P42" s="70">
        <f>SUM((IF(ISBLANK(D42),B42,D42))+(IF(ISBLANK(E42),C42,E42)*P18))</f>
        <v>1272.5409927354463</v>
      </c>
      <c r="Q42" s="70">
        <f>SUM((IF(ISBLANK(D42),B42,D42))+(IF(ISBLANK(E42),C42,E42)*Q18))</f>
        <v>1303.6744354959797</v>
      </c>
      <c r="R42" s="70">
        <f>SUM((IF(ISBLANK(D42),B42,D42))+(IF(ISBLANK(E42),C42,E42)*R18))</f>
        <v>1340.1933331044729</v>
      </c>
      <c r="S42" s="70">
        <f>SUM((IF(ISBLANK(D42),B42,D42))+(IF(ISBLANK(E42),C42,E42)*S18))</f>
        <v>1384.019227067841</v>
      </c>
      <c r="T42" s="305">
        <f t="shared" si="148"/>
        <v>15901.28396521122</v>
      </c>
      <c r="U42" s="281">
        <f>SUM((IF(ISBLANK(D42),B42,D42))+(IF(ISBLANK(E42),C42,E42)*U18))*12</f>
        <v>25140.204824248569</v>
      </c>
      <c r="V42" s="282">
        <f>SUM((IF(ISBLANK(D42),B42,D42))+(IF(ISBLANK(E42),C42,E42)*V18))*12</f>
        <v>37549.956562648593</v>
      </c>
      <c r="W42" s="283">
        <f>SUM((IF(ISBLANK(D42),B42,D42))+(IF(ISBLANK(E42),C42,E42)*W18))*12</f>
        <v>49108.196048540121</v>
      </c>
      <c r="X42" s="177"/>
      <c r="Y42" s="505">
        <f>SUM(10105+7000)</f>
        <v>17105</v>
      </c>
      <c r="Z42" s="70">
        <f t="shared" si="149"/>
        <v>1020.7232628236161</v>
      </c>
      <c r="AA42" s="70">
        <f t="shared" si="150"/>
        <v>1020.7232628236161</v>
      </c>
      <c r="AB42" s="70">
        <f t="shared" si="151"/>
        <v>1020.7232628236161</v>
      </c>
      <c r="AC42" s="282">
        <f t="shared" si="134"/>
        <v>3062.1697884708483</v>
      </c>
      <c r="AD42" s="74"/>
      <c r="AE42" s="70">
        <f t="shared" si="152"/>
        <v>1049.2477787558867</v>
      </c>
      <c r="AF42" s="70">
        <f t="shared" si="153"/>
        <v>1049.2477787558867</v>
      </c>
      <c r="AG42" s="70">
        <f t="shared" si="154"/>
        <v>1049.2477787558867</v>
      </c>
      <c r="AH42" s="282">
        <f t="shared" si="135"/>
        <v>3147.7433362676602</v>
      </c>
      <c r="AI42" s="74"/>
      <c r="AJ42" s="70">
        <f t="shared" si="155"/>
        <v>1092.9620693342149</v>
      </c>
      <c r="AK42" s="70">
        <f t="shared" si="156"/>
        <v>1092.9620693342149</v>
      </c>
      <c r="AL42" s="70">
        <f t="shared" si="157"/>
        <v>1092.9620693342149</v>
      </c>
      <c r="AM42" s="282">
        <f t="shared" si="136"/>
        <v>3278.8862080026447</v>
      </c>
      <c r="AN42" s="74"/>
      <c r="AO42" s="70">
        <f t="shared" si="158"/>
        <v>1123.8776509585041</v>
      </c>
      <c r="AP42" s="70">
        <f t="shared" si="159"/>
        <v>1123.8776509585041</v>
      </c>
      <c r="AQ42" s="70">
        <f t="shared" si="160"/>
        <v>1123.8776509585041</v>
      </c>
      <c r="AR42" s="282">
        <f t="shared" si="137"/>
        <v>3371.6329528755123</v>
      </c>
      <c r="AS42" s="74"/>
      <c r="AT42" s="70">
        <f t="shared" si="161"/>
        <v>1158.7841723104011</v>
      </c>
      <c r="AU42" s="70">
        <f t="shared" si="162"/>
        <v>1158.7841723104011</v>
      </c>
      <c r="AV42" s="70">
        <f t="shared" si="163"/>
        <v>1158.7841723104011</v>
      </c>
      <c r="AW42" s="282">
        <f t="shared" si="138"/>
        <v>3476.3525169312034</v>
      </c>
      <c r="AX42" s="74"/>
      <c r="AY42" s="70">
        <f t="shared" si="164"/>
        <v>1189.686918975066</v>
      </c>
      <c r="AZ42" s="70">
        <f t="shared" si="165"/>
        <v>1189.686918975066</v>
      </c>
      <c r="BA42" s="70">
        <f t="shared" si="166"/>
        <v>1189.686918975066</v>
      </c>
      <c r="BB42" s="282">
        <f t="shared" si="139"/>
        <v>3569.0607569251979</v>
      </c>
      <c r="BC42" s="74"/>
      <c r="BD42" s="70">
        <f t="shared" si="167"/>
        <v>1217.9216875269487</v>
      </c>
      <c r="BE42" s="70">
        <f t="shared" si="168"/>
        <v>1217.9216875269487</v>
      </c>
      <c r="BF42" s="70">
        <f t="shared" si="169"/>
        <v>1217.9216875269487</v>
      </c>
      <c r="BG42" s="282">
        <f t="shared" si="140"/>
        <v>3653.7650625808465</v>
      </c>
      <c r="BH42" s="74"/>
      <c r="BI42" s="70">
        <f t="shared" si="170"/>
        <v>1245.3184721494858</v>
      </c>
      <c r="BJ42" s="70">
        <f t="shared" si="171"/>
        <v>1245.3184721494858</v>
      </c>
      <c r="BK42" s="70">
        <f t="shared" si="172"/>
        <v>1245.3184721494858</v>
      </c>
      <c r="BL42" s="282">
        <f t="shared" si="141"/>
        <v>3735.9554164484575</v>
      </c>
      <c r="BM42" s="74"/>
      <c r="BN42" s="70">
        <f t="shared" si="173"/>
        <v>1272.5409927354463</v>
      </c>
      <c r="BO42" s="70">
        <f t="shared" si="174"/>
        <v>1272.5409927354463</v>
      </c>
      <c r="BP42" s="70">
        <f t="shared" si="175"/>
        <v>1272.5409927354463</v>
      </c>
      <c r="BQ42" s="282">
        <f t="shared" si="142"/>
        <v>3817.6229782063388</v>
      </c>
      <c r="BR42" s="74"/>
      <c r="BS42" s="70">
        <f t="shared" si="176"/>
        <v>1303.6744354959797</v>
      </c>
      <c r="BT42" s="70">
        <f t="shared" si="177"/>
        <v>1303.6744354959797</v>
      </c>
      <c r="BU42" s="70">
        <f t="shared" si="178"/>
        <v>1303.6744354959797</v>
      </c>
      <c r="BV42" s="282">
        <f t="shared" si="143"/>
        <v>3911.023306487939</v>
      </c>
      <c r="BW42" s="74"/>
      <c r="BX42" s="70">
        <f t="shared" si="179"/>
        <v>1340.1933331044729</v>
      </c>
      <c r="BY42" s="70">
        <f t="shared" si="180"/>
        <v>1340.1933331044729</v>
      </c>
      <c r="BZ42" s="70">
        <f t="shared" si="181"/>
        <v>1340.1933331044729</v>
      </c>
      <c r="CA42" s="282">
        <f t="shared" si="144"/>
        <v>4020.5799993134187</v>
      </c>
      <c r="CB42" s="74"/>
      <c r="CC42" s="70">
        <f t="shared" si="182"/>
        <v>1384.019227067841</v>
      </c>
      <c r="CD42" s="70">
        <f t="shared" si="183"/>
        <v>1384.019227067841</v>
      </c>
      <c r="CE42" s="70">
        <f t="shared" si="184"/>
        <v>1384.019227067841</v>
      </c>
      <c r="CF42" s="282">
        <f t="shared" si="145"/>
        <v>4152.0576812035233</v>
      </c>
      <c r="CG42" s="88"/>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1" t="s">
        <v>275</v>
      </c>
      <c r="B43" s="270">
        <v>0</v>
      </c>
      <c r="C43" s="269">
        <v>0</v>
      </c>
      <c r="D43" s="118"/>
      <c r="E43" s="117"/>
      <c r="F43" s="130">
        <v>10000</v>
      </c>
      <c r="G43" s="131">
        <v>10000</v>
      </c>
      <c r="H43" s="70">
        <v>2000</v>
      </c>
      <c r="I43" s="104">
        <f>SUM(IF(ISBLANK(D43),      (IF((1*(IF(ISBLANK(E43),C43,E43)) + B43) &lt; 0,     0,     (1*(IF(ISBLANK(E43),C43,E43)) + B43)   )),       (IF((1*(IF(ISBLANK(E43),C43,E43)) + D43) &lt; 0,     0,     (1*(IF(ISBLANK(E43),C43,E43)) + D43)   ))  )       *   (I30/3)+(H43))</f>
        <v>2000</v>
      </c>
      <c r="J43" s="282">
        <f t="shared" si="146"/>
        <v>72000</v>
      </c>
      <c r="K43" s="70">
        <f>SUM(IF(ISBLANK(D43),      (IF((2*(IF(ISBLANK(E43),C43,E43)) + B43) &lt; 0,     0,     (2*(IF(ISBLANK(E43),C43,E43)) + B43)   )),       (IF((2*(IF(ISBLANK(E43),C43,E43)) + D43) &lt; 0,     0,     (2*(IF(ISBLANK(E43),C43,E43)) + D43)   ))  )       *   (K30/3)+(I43))</f>
        <v>2000</v>
      </c>
      <c r="L43" s="70">
        <f>SUM(IF(ISBLANK(D43),      (IF((3*(IF(ISBLANK(E43),C43,E43)) + B43) &lt; 0,     0,     (3*(IF(ISBLANK(E43),C43,E43)) + B43)   )),       (IF((3*(IF(ISBLANK(E43),C43,E43)) + D43) &lt; 0,     0,     (3*(IF(ISBLANK(E43),C43,E43)) + D43)   ))  )       *   (L30/3)+(K43))</f>
        <v>2000</v>
      </c>
      <c r="M43" s="70">
        <f>SUM(IF(ISBLANK(D43),      (IF((4*(IF(ISBLANK(E43),C43,E43)) + B43) &lt; 0,     0,     (4*(IF(ISBLANK(E43),C43,E43)) + B43)   )),       (IF((4*(IF(ISBLANK(E43),C43,E43)) + D43) &lt; 0,     0,     (4*(IF(ISBLANK(E43),C43,E43)) + D43)   ))  )       *   (M30/3)+(L43))</f>
        <v>2000</v>
      </c>
      <c r="N43" s="70">
        <f>SUM(IF(ISBLANK(D43),      (IF((5*(IF(ISBLANK(E43),C43,E43)) + B43) &lt; 0,     0,     (5*(IF(ISBLANK(E43),C43,E43)) + B43)   )),       (IF((5*(IF(ISBLANK(E43),C43,E43)) + D43) &lt; 0,     0,     (5*(IF(ISBLANK(E43),C43,E43)) + D43)   ))  )       *   (N30/3)+(M43))</f>
        <v>2000</v>
      </c>
      <c r="O43" s="282">
        <f t="shared" si="147"/>
        <v>24000</v>
      </c>
      <c r="P43" s="70">
        <f>SUM(IF(ISBLANK(D43),      (IF((6*(IF(ISBLANK(E43),C43,E43)) + B43) &lt; 0,     0,     (6*(IF(ISBLANK(E43),C43,E43)) + B43)   )),       (IF((6*(IF(ISBLANK(E43),C43,E43)) + D43) &lt; 0,     0,     (6*(IF(ISBLANK(E43),C43,E43)) + D43)   ))  )       *   (P30/3)+(N43))</f>
        <v>2000</v>
      </c>
      <c r="Q43" s="70">
        <f>SUM(IF(ISBLANK(D43),      (IF((7*(IF(ISBLANK(E43),C43,E43)) + B43) &lt; 0,     0,     (7*(IF(ISBLANK(E43),C43,E43)) + B43)   )),       (IF((7*(IF(ISBLANK(E43),C43,E43)) + D43) &lt; 0,     0,     (7*(IF(ISBLANK(E43),C43,E43)) + D43)   ))  )       *   (Q30/3)+(P43))</f>
        <v>2000</v>
      </c>
      <c r="R43" s="70">
        <f>SUM(IF(ISBLANK(D43),      (IF((8*(IF(ISBLANK(E43),C43,E43)) + B43) &lt; 0,     0,     (8*(IF(ISBLANK(E43),C43,E43)) + B43)   )),       (IF((8*(IF(ISBLANK(E43),C43,E43)) + D43) &lt; 0,     0,     (8*(IF(ISBLANK(E43),C43,E43)) + D43)   ))  )       *   (R30/3)+(Q43))</f>
        <v>2000</v>
      </c>
      <c r="S43" s="70">
        <f>SUM(IF(ISBLANK(D43),      (IF((9*(IF(ISBLANK(E43),C43,E43)) + B43) &lt; 0,     0,     (9*(IF(ISBLANK(E43),C43,E43)) + B43)   )),       (IF((9*(IF(ISBLANK(E43),C43,E43)) + D43) &lt; 0,     0,     (9*(IF(ISBLANK(E43),C43,E43)) + D43)   ))  )       *   (S30/3)+(R43))</f>
        <v>2000</v>
      </c>
      <c r="T43" s="305">
        <f t="shared" si="148"/>
        <v>24000</v>
      </c>
      <c r="U43" s="281">
        <f>SUM(IF(ISBLANK(D43),      (IF((10*(IF(ISBLANK(E43),C43,E43)) + B43) &lt; 0,     0,     (10*(IF(ISBLANK(E43),C43,E43)) + B43)   )),       (IF((10*(IF(ISBLANK(E43),C43,E43)) + D43) &lt; 0,     0,     (10*(IF(ISBLANK(E43),C43,E43)) + D43)   ))  )       *   (U30)+(S43))*12</f>
        <v>24000</v>
      </c>
      <c r="V43" s="282">
        <f>SUM(IF(ISBLANK(D43),      (IF((11*(IF(ISBLANK(E43),C43,E43)) + B43) &lt; 0,     0,     (11*(IF(ISBLANK(E43),C43,E43)) + B43)   )),       (IF((11*(IF(ISBLANK(E43),C43,E43)) + D43) &lt; 0,     0,     (11*(IF(ISBLANK(E43),C43,E43)) + D43)   ))  )       *   (V30)+(U43))</f>
        <v>24000</v>
      </c>
      <c r="W43" s="283">
        <f>SUM(IF(ISBLANK(D43),      (IF((12*(IF(ISBLANK(E43),C43,E43)) + B43) &lt; 0,     0,     (12*(IF(ISBLANK(E43),C43,E43)) + B43)   )),       (IF((12*(IF(ISBLANK(E43),C43,E43)) + D43) &lt; 0,     0,     (12*(IF(ISBLANK(E43),C43,E43)) + D43)   ))  )       *   (W30)+(V43))</f>
        <v>24000</v>
      </c>
      <c r="X43" s="177"/>
      <c r="Y43" s="505">
        <f>SUM(1150+61191+16520+16425+10520+4487)</f>
        <v>110293</v>
      </c>
      <c r="Z43" s="70">
        <f t="shared" si="149"/>
        <v>10000</v>
      </c>
      <c r="AA43" s="70">
        <f t="shared" si="150"/>
        <v>10000</v>
      </c>
      <c r="AB43" s="70">
        <f t="shared" si="151"/>
        <v>10000</v>
      </c>
      <c r="AC43" s="282">
        <f t="shared" si="134"/>
        <v>30000</v>
      </c>
      <c r="AD43" s="74"/>
      <c r="AE43" s="70">
        <f t="shared" si="152"/>
        <v>10000</v>
      </c>
      <c r="AF43" s="70">
        <f t="shared" si="153"/>
        <v>10000</v>
      </c>
      <c r="AG43" s="70">
        <f t="shared" si="154"/>
        <v>10000</v>
      </c>
      <c r="AH43" s="282">
        <f t="shared" si="135"/>
        <v>30000</v>
      </c>
      <c r="AI43" s="74"/>
      <c r="AJ43" s="70">
        <f t="shared" si="155"/>
        <v>2000</v>
      </c>
      <c r="AK43" s="70">
        <f t="shared" si="156"/>
        <v>2000</v>
      </c>
      <c r="AL43" s="70">
        <f t="shared" si="157"/>
        <v>2000</v>
      </c>
      <c r="AM43" s="282">
        <f t="shared" si="136"/>
        <v>6000</v>
      </c>
      <c r="AN43" s="74"/>
      <c r="AO43" s="70">
        <f t="shared" si="158"/>
        <v>2000</v>
      </c>
      <c r="AP43" s="70">
        <f t="shared" si="159"/>
        <v>2000</v>
      </c>
      <c r="AQ43" s="70">
        <f t="shared" si="160"/>
        <v>2000</v>
      </c>
      <c r="AR43" s="282">
        <f t="shared" si="137"/>
        <v>6000</v>
      </c>
      <c r="AS43" s="74"/>
      <c r="AT43" s="70">
        <f t="shared" si="161"/>
        <v>2000</v>
      </c>
      <c r="AU43" s="70">
        <f t="shared" si="162"/>
        <v>2000</v>
      </c>
      <c r="AV43" s="70">
        <f t="shared" si="163"/>
        <v>2000</v>
      </c>
      <c r="AW43" s="282">
        <f t="shared" si="138"/>
        <v>6000</v>
      </c>
      <c r="AX43" s="74"/>
      <c r="AY43" s="70">
        <f t="shared" si="164"/>
        <v>2000</v>
      </c>
      <c r="AZ43" s="70">
        <f t="shared" si="165"/>
        <v>2000</v>
      </c>
      <c r="BA43" s="70">
        <f t="shared" si="166"/>
        <v>2000</v>
      </c>
      <c r="BB43" s="282">
        <f t="shared" si="139"/>
        <v>6000</v>
      </c>
      <c r="BC43" s="74"/>
      <c r="BD43" s="70">
        <f t="shared" si="167"/>
        <v>2000</v>
      </c>
      <c r="BE43" s="70">
        <f t="shared" si="168"/>
        <v>2000</v>
      </c>
      <c r="BF43" s="70">
        <f t="shared" si="169"/>
        <v>2000</v>
      </c>
      <c r="BG43" s="282">
        <f t="shared" si="140"/>
        <v>6000</v>
      </c>
      <c r="BH43" s="74"/>
      <c r="BI43" s="70">
        <f t="shared" si="170"/>
        <v>2000</v>
      </c>
      <c r="BJ43" s="70">
        <f t="shared" si="171"/>
        <v>2000</v>
      </c>
      <c r="BK43" s="70">
        <f t="shared" si="172"/>
        <v>2000</v>
      </c>
      <c r="BL43" s="282">
        <f t="shared" si="141"/>
        <v>6000</v>
      </c>
      <c r="BM43" s="74"/>
      <c r="BN43" s="70">
        <f t="shared" si="173"/>
        <v>2000</v>
      </c>
      <c r="BO43" s="70">
        <f t="shared" si="174"/>
        <v>2000</v>
      </c>
      <c r="BP43" s="70">
        <f t="shared" si="175"/>
        <v>2000</v>
      </c>
      <c r="BQ43" s="282">
        <f t="shared" si="142"/>
        <v>6000</v>
      </c>
      <c r="BR43" s="74"/>
      <c r="BS43" s="70">
        <f t="shared" si="176"/>
        <v>2000</v>
      </c>
      <c r="BT43" s="70">
        <f t="shared" si="177"/>
        <v>2000</v>
      </c>
      <c r="BU43" s="70">
        <f t="shared" si="178"/>
        <v>2000</v>
      </c>
      <c r="BV43" s="282">
        <f t="shared" si="143"/>
        <v>6000</v>
      </c>
      <c r="BW43" s="74"/>
      <c r="BX43" s="70">
        <f t="shared" si="179"/>
        <v>2000</v>
      </c>
      <c r="BY43" s="70">
        <f t="shared" si="180"/>
        <v>2000</v>
      </c>
      <c r="BZ43" s="70">
        <f t="shared" si="181"/>
        <v>2000</v>
      </c>
      <c r="CA43" s="282">
        <f t="shared" si="144"/>
        <v>6000</v>
      </c>
      <c r="CB43" s="74"/>
      <c r="CC43" s="70">
        <f t="shared" si="182"/>
        <v>2000</v>
      </c>
      <c r="CD43" s="70">
        <f t="shared" si="183"/>
        <v>2000</v>
      </c>
      <c r="CE43" s="70">
        <f t="shared" si="184"/>
        <v>2000</v>
      </c>
      <c r="CF43" s="282">
        <f t="shared" si="145"/>
        <v>6000</v>
      </c>
      <c r="CG43" s="88"/>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196" t="s">
        <v>276</v>
      </c>
      <c r="B44" s="367">
        <v>6</v>
      </c>
      <c r="C44" s="374">
        <v>0</v>
      </c>
      <c r="D44" s="122"/>
      <c r="E44" s="123"/>
      <c r="F44" s="129">
        <v>6</v>
      </c>
      <c r="G44" s="128">
        <v>6</v>
      </c>
      <c r="H44" s="195">
        <f>SUM((IF(ISBLANK(D44),B44,D44)))</f>
        <v>6</v>
      </c>
      <c r="I44" s="195">
        <f>SUM(H44+(IF(ISBLANK(E44),C44,E44)))</f>
        <v>6</v>
      </c>
      <c r="J44" s="279">
        <f>SUM((F44+G44+H44+I44)/4)</f>
        <v>6</v>
      </c>
      <c r="K44" s="195">
        <f>SUM(I44+(IF(ISBLANK(E44),C44,E44)))</f>
        <v>6</v>
      </c>
      <c r="L44" s="195">
        <f>SUM(K44+(IF(ISBLANK(E44),C44,E44)))</f>
        <v>6</v>
      </c>
      <c r="M44" s="195">
        <f>SUM(L44+(IF(ISBLANK(E44),C44,E44)))</f>
        <v>6</v>
      </c>
      <c r="N44" s="195">
        <f>SUM(M44+(IF(ISBLANK(E44),C44,E44)))</f>
        <v>6</v>
      </c>
      <c r="O44" s="279">
        <f>SUM(K44+L44+M44+N44)/4</f>
        <v>6</v>
      </c>
      <c r="P44" s="195">
        <f>SUM(N44+(IF(ISBLANK(E44),C44,E44)))</f>
        <v>6</v>
      </c>
      <c r="Q44" s="195">
        <f>SUM(P44+(IF(ISBLANK(E44),C44,E44)))</f>
        <v>6</v>
      </c>
      <c r="R44" s="195">
        <f>SUM(Q44+(IF(ISBLANK(E44),C44,E44)))</f>
        <v>6</v>
      </c>
      <c r="S44" s="195">
        <f>SUM(R44+(IF(ISBLANK(E44),C44,E44)))</f>
        <v>6</v>
      </c>
      <c r="T44" s="304">
        <f>SUM(P44+Q44+R44+S44)/4</f>
        <v>6</v>
      </c>
      <c r="U44" s="278">
        <f>SUM(S44+(IF(ISBLANK(E44),C44,E44)))</f>
        <v>6</v>
      </c>
      <c r="V44" s="279">
        <f>SUM(U44+(IF(ISBLANK(E44),C44,E44)))</f>
        <v>6</v>
      </c>
      <c r="W44" s="280">
        <f>SUM(V44+(IF(ISBLANK(E44),C44,E44)))</f>
        <v>6</v>
      </c>
      <c r="X44" s="172"/>
      <c r="Y44" s="506">
        <v>1.2</v>
      </c>
      <c r="Z44" s="195">
        <f>F44</f>
        <v>6</v>
      </c>
      <c r="AA44" s="195">
        <f>F44</f>
        <v>6</v>
      </c>
      <c r="AB44" s="195">
        <f>F44</f>
        <v>6</v>
      </c>
      <c r="AC44" s="279">
        <f>SUM((Z44+AA44+AB44)/3)</f>
        <v>6</v>
      </c>
      <c r="AD44" s="85"/>
      <c r="AE44" s="195">
        <f>G44</f>
        <v>6</v>
      </c>
      <c r="AF44" s="195">
        <f>G44</f>
        <v>6</v>
      </c>
      <c r="AG44" s="195">
        <f>G44</f>
        <v>6</v>
      </c>
      <c r="AH44" s="279">
        <f>SUM((AE44+AF44+AG44)/3)</f>
        <v>6</v>
      </c>
      <c r="AI44" s="85"/>
      <c r="AJ44" s="195">
        <f>H44</f>
        <v>6</v>
      </c>
      <c r="AK44" s="195">
        <f>H44</f>
        <v>6</v>
      </c>
      <c r="AL44" s="195">
        <f>H44</f>
        <v>6</v>
      </c>
      <c r="AM44" s="279">
        <f>SUM((AJ44+AK44+AL44)/3)</f>
        <v>6</v>
      </c>
      <c r="AN44" s="85"/>
      <c r="AO44" s="195">
        <f>I44</f>
        <v>6</v>
      </c>
      <c r="AP44" s="195">
        <f>I44</f>
        <v>6</v>
      </c>
      <c r="AQ44" s="195">
        <f>I44</f>
        <v>6</v>
      </c>
      <c r="AR44" s="279">
        <f>SUM((AO44+AP44+AQ44)/3)</f>
        <v>6</v>
      </c>
      <c r="AS44" s="85"/>
      <c r="AT44" s="195">
        <f>K44</f>
        <v>6</v>
      </c>
      <c r="AU44" s="195">
        <f>K44</f>
        <v>6</v>
      </c>
      <c r="AV44" s="195">
        <f>K44</f>
        <v>6</v>
      </c>
      <c r="AW44" s="279">
        <f>SUM((AT44+AU44+AV44)/3)</f>
        <v>6</v>
      </c>
      <c r="AX44" s="85"/>
      <c r="AY44" s="195">
        <f>L44</f>
        <v>6</v>
      </c>
      <c r="AZ44" s="195">
        <f>L44</f>
        <v>6</v>
      </c>
      <c r="BA44" s="195">
        <f>L44</f>
        <v>6</v>
      </c>
      <c r="BB44" s="279">
        <f>SUM((AY44+AZ44+BA44)/3)</f>
        <v>6</v>
      </c>
      <c r="BC44" s="85"/>
      <c r="BD44" s="195">
        <f>M44</f>
        <v>6</v>
      </c>
      <c r="BE44" s="195">
        <f>M44</f>
        <v>6</v>
      </c>
      <c r="BF44" s="195">
        <f>M44</f>
        <v>6</v>
      </c>
      <c r="BG44" s="279">
        <f>SUM((BD44+BE44+BF44)/3)</f>
        <v>6</v>
      </c>
      <c r="BH44" s="85"/>
      <c r="BI44" s="195">
        <f>N44</f>
        <v>6</v>
      </c>
      <c r="BJ44" s="195">
        <f>N44</f>
        <v>6</v>
      </c>
      <c r="BK44" s="195">
        <f>N44</f>
        <v>6</v>
      </c>
      <c r="BL44" s="279">
        <f>SUM((BI44+BJ44+BK44)/3)</f>
        <v>6</v>
      </c>
      <c r="BM44" s="85"/>
      <c r="BN44" s="195">
        <f>P44</f>
        <v>6</v>
      </c>
      <c r="BO44" s="195">
        <f>P44</f>
        <v>6</v>
      </c>
      <c r="BP44" s="195">
        <f>P44</f>
        <v>6</v>
      </c>
      <c r="BQ44" s="279">
        <f>SUM((BN44+BO44+BP44)/3)</f>
        <v>6</v>
      </c>
      <c r="BR44" s="85"/>
      <c r="BS44" s="195">
        <f>Q44</f>
        <v>6</v>
      </c>
      <c r="BT44" s="195">
        <f>Q44</f>
        <v>6</v>
      </c>
      <c r="BU44" s="195">
        <f>Q44</f>
        <v>6</v>
      </c>
      <c r="BV44" s="279">
        <f>SUM((BS44+BT44+BU44)/3)</f>
        <v>6</v>
      </c>
      <c r="BW44" s="85"/>
      <c r="BX44" s="195">
        <f>R44</f>
        <v>6</v>
      </c>
      <c r="BY44" s="195">
        <f>R44</f>
        <v>6</v>
      </c>
      <c r="BZ44" s="195">
        <f>R44</f>
        <v>6</v>
      </c>
      <c r="CA44" s="279">
        <f>SUM((BX44+BY44+BZ44)/3)</f>
        <v>6</v>
      </c>
      <c r="CB44" s="85"/>
      <c r="CC44" s="195">
        <f>S44</f>
        <v>6</v>
      </c>
      <c r="CD44" s="195">
        <f>S44</f>
        <v>6</v>
      </c>
      <c r="CE44" s="195">
        <f>S44</f>
        <v>6</v>
      </c>
      <c r="CF44" s="279">
        <f>SUM((CC44+CD44+CE44)/3)</f>
        <v>6</v>
      </c>
      <c r="CG44" s="87"/>
    </row>
    <row r="45" spans="1:175" s="9" customFormat="1" ht="9.75" customHeight="1" x14ac:dyDescent="0.15">
      <c r="A45" s="61" t="s">
        <v>277</v>
      </c>
      <c r="B45" s="270">
        <v>0.2</v>
      </c>
      <c r="C45" s="481">
        <v>500000</v>
      </c>
      <c r="D45" s="118"/>
      <c r="E45" s="119"/>
      <c r="F45" s="130">
        <v>0</v>
      </c>
      <c r="G45" s="131">
        <v>0</v>
      </c>
      <c r="H45" s="70">
        <f>SUM(G45+(IF(IF(ISBLANK(D45),B45,D45)*(G30/3)&gt;(IF(ISBLANK(E45),C45,E45)),IF(ISBLANK(E45),C45,E45),IF(ISBLANK(D45),B45,D45)*(G30/3))))</f>
        <v>0</v>
      </c>
      <c r="I45" s="104">
        <f>SUM(G45+(IF(IF(ISBLANK(D45),B45,D45)*(H30/3)&gt;(IF(ISBLANK(E45),C45,E45)),IF(ISBLANK(E45),C45,E45),IF(ISBLANK(D45),B45,D45)*(H30/3))))</f>
        <v>318.79760631686418</v>
      </c>
      <c r="J45" s="282">
        <f t="shared" si="146"/>
        <v>956.39281895059253</v>
      </c>
      <c r="K45" s="70">
        <f>SUM(G45+(IF(IF(ISBLANK(D45),B45,D45)*(I30/3)&gt;(IF(ISBLANK(E45),C45,E45)),IF(ISBLANK(E45),C45,E45),IF(ISBLANK(D45),B45,D45)*(I30/3))))</f>
        <v>1076.9651065040714</v>
      </c>
      <c r="L45" s="70">
        <f>SUM(G45+(IF(IF(ISBLANK(D45),B45,D45)*(K30/3)&gt;(IF(ISBLANK(E45),C45,E45)),IF(ISBLANK(E45),C45,E45),IF(ISBLANK(D45),B45,D45)*(K30/3))))</f>
        <v>1749.1894018529708</v>
      </c>
      <c r="M45" s="70">
        <f>SUM(G45+(IF(IF(ISBLANK(D45),B45,D45)*(L30/3)&gt;(IF(ISBLANK(E45),C45,E45)),IF(ISBLANK(E45),C45,E45),IF(ISBLANK(D45),B45,D45)*(L30/3))))</f>
        <v>2561.5248020096496</v>
      </c>
      <c r="N45" s="70">
        <f>SUM(G45+(IF(IF(ISBLANK(D45),B45,D45)*(M30/3)&gt;(IF(ISBLANK(E45),C45,E45)),IF(ISBLANK(E45),C45,E45),IF(ISBLANK(D45),B45,D45)*(M30/3))))</f>
        <v>3476.8413845383366</v>
      </c>
      <c r="O45" s="282">
        <f t="shared" si="147"/>
        <v>26593.562084715086</v>
      </c>
      <c r="P45" s="70">
        <f>SUM(G45+(IF(IF(ISBLANK(D45),B45,D45)*(N30/3)&gt;(IF(ISBLANK(E45),C45,E45)),IF(ISBLANK(E45),C45,E45),IF(ISBLANK(D45),B45,D45)*(N30/3))))</f>
        <v>4505.0926660117211</v>
      </c>
      <c r="Q45" s="70">
        <f>SUM(G45+(IF(IF(ISBLANK(D45),B45,D45)*(P30/3)&gt;(IF(ISBLANK(E45),C45,E45)),IF(ISBLANK(E45),C45,E45),IF(ISBLANK(D45),B45,D45)*(P30/3))))</f>
        <v>5658.1151994410639</v>
      </c>
      <c r="R45" s="70">
        <f>SUM(G45+(IF(IF(ISBLANK(D45),B45,D45)*(Q30/3)&gt;(IF(ISBLANK(E45),C45,E45)),IF(ISBLANK(E45),C45,E45),IF(ISBLANK(D45),B45,D45)*(Q30/3))))</f>
        <v>7005.22281788703</v>
      </c>
      <c r="S45" s="70">
        <f>SUM(G45+(IF(IF(ISBLANK(D45),B45,D45)*(R30/3)&gt;(IF(ISBLANK(E45),C45,E45)),IF(ISBLANK(E45),C45,E45),IF(ISBLANK(D45),B45,D45)*(R30/3))))</f>
        <v>8624.8842428386615</v>
      </c>
      <c r="T45" s="305">
        <f t="shared" si="148"/>
        <v>77379.944778535428</v>
      </c>
      <c r="U45" s="281">
        <f>SUM(G45+(IF(IF(ISBLANK(D45),B45,D45)*(S30)&gt;(IF(ISBLANK(E45),C45,E45)),IF(ISBLANK(E45),C45,E45),IF(ISBLANK(D45),B45,D45)*(S30))))</f>
        <v>31809.639700804943</v>
      </c>
      <c r="V45" s="282">
        <f>SUM(G45+(IF(IF(ISBLANK(D45),B45,D45)*(U30)&gt;(IF(ISBLANK(E45),C45,E45)),IF(ISBLANK(E45),C45,E45),IF(ISBLANK(D45),B45,D45)*(U30))))</f>
        <v>296398.8736693465</v>
      </c>
      <c r="W45" s="283">
        <f>SUM(G45+(IF(IF(ISBLANK(D45),B45,D45)*(V30)&gt;(IF(ISBLANK(E45),C45,E45)),IF(ISBLANK(E45),C45,E45),IF(ISBLANK(D45),B45,D45)*(V30))))</f>
        <v>500000</v>
      </c>
      <c r="X45" s="177"/>
      <c r="Y45" s="505">
        <v>0</v>
      </c>
      <c r="Z45" s="70">
        <f t="shared" si="149"/>
        <v>0</v>
      </c>
      <c r="AA45" s="70">
        <f t="shared" si="150"/>
        <v>0</v>
      </c>
      <c r="AB45" s="70">
        <f t="shared" si="151"/>
        <v>0</v>
      </c>
      <c r="AC45" s="282">
        <f>SUM(Z45:AB45)</f>
        <v>0</v>
      </c>
      <c r="AD45" s="74"/>
      <c r="AE45" s="70">
        <f t="shared" si="152"/>
        <v>0</v>
      </c>
      <c r="AF45" s="70">
        <f t="shared" si="153"/>
        <v>0</v>
      </c>
      <c r="AG45" s="70">
        <f t="shared" si="154"/>
        <v>0</v>
      </c>
      <c r="AH45" s="282">
        <f t="shared" si="135"/>
        <v>0</v>
      </c>
      <c r="AI45" s="74"/>
      <c r="AJ45" s="70">
        <f t="shared" si="155"/>
        <v>0</v>
      </c>
      <c r="AK45" s="70">
        <f t="shared" si="156"/>
        <v>0</v>
      </c>
      <c r="AL45" s="70">
        <f t="shared" si="157"/>
        <v>0</v>
      </c>
      <c r="AM45" s="282">
        <f>SUM(AJ45:AL45)</f>
        <v>0</v>
      </c>
      <c r="AN45" s="74"/>
      <c r="AO45" s="70">
        <f t="shared" si="158"/>
        <v>318.79760631686418</v>
      </c>
      <c r="AP45" s="70">
        <f t="shared" si="159"/>
        <v>318.79760631686418</v>
      </c>
      <c r="AQ45" s="70">
        <f t="shared" si="160"/>
        <v>318.79760631686418</v>
      </c>
      <c r="AR45" s="282">
        <f>SUM(AO45:AQ45)</f>
        <v>956.39281895059253</v>
      </c>
      <c r="AS45" s="74"/>
      <c r="AT45" s="70">
        <f t="shared" si="161"/>
        <v>1076.9651065040714</v>
      </c>
      <c r="AU45" s="70">
        <f t="shared" si="162"/>
        <v>1076.9651065040714</v>
      </c>
      <c r="AV45" s="70">
        <f t="shared" si="163"/>
        <v>1076.9651065040714</v>
      </c>
      <c r="AW45" s="282">
        <f>SUM(AT45:AV45)</f>
        <v>3230.895319512214</v>
      </c>
      <c r="AX45" s="74"/>
      <c r="AY45" s="70">
        <f t="shared" si="164"/>
        <v>1749.1894018529708</v>
      </c>
      <c r="AZ45" s="70">
        <f t="shared" si="165"/>
        <v>1749.1894018529708</v>
      </c>
      <c r="BA45" s="70">
        <f t="shared" si="166"/>
        <v>1749.1894018529708</v>
      </c>
      <c r="BB45" s="282">
        <f>SUM(AY45:BA45)</f>
        <v>5247.5682055589123</v>
      </c>
      <c r="BC45" s="74"/>
      <c r="BD45" s="70">
        <f t="shared" si="167"/>
        <v>2561.5248020096496</v>
      </c>
      <c r="BE45" s="70">
        <f t="shared" si="168"/>
        <v>2561.5248020096496</v>
      </c>
      <c r="BF45" s="70">
        <f t="shared" si="169"/>
        <v>2561.5248020096496</v>
      </c>
      <c r="BG45" s="282">
        <f>SUM(BD45:BF45)</f>
        <v>7684.5744060289489</v>
      </c>
      <c r="BH45" s="74"/>
      <c r="BI45" s="70">
        <f t="shared" si="170"/>
        <v>3476.8413845383366</v>
      </c>
      <c r="BJ45" s="70">
        <f t="shared" si="171"/>
        <v>3476.8413845383366</v>
      </c>
      <c r="BK45" s="70">
        <f t="shared" si="172"/>
        <v>3476.8413845383366</v>
      </c>
      <c r="BL45" s="282">
        <f>SUM(BI45:BK45)</f>
        <v>10430.52415361501</v>
      </c>
      <c r="BM45" s="74"/>
      <c r="BN45" s="70">
        <f t="shared" si="173"/>
        <v>4505.0926660117211</v>
      </c>
      <c r="BO45" s="70">
        <f>P45</f>
        <v>4505.0926660117211</v>
      </c>
      <c r="BP45" s="70">
        <f t="shared" si="175"/>
        <v>4505.0926660117211</v>
      </c>
      <c r="BQ45" s="282">
        <f>SUM(BN45:BP45)</f>
        <v>13515.277998035162</v>
      </c>
      <c r="BR45" s="74"/>
      <c r="BS45" s="70">
        <f t="shared" si="176"/>
        <v>5658.1151994410639</v>
      </c>
      <c r="BT45" s="70">
        <f t="shared" si="177"/>
        <v>5658.1151994410639</v>
      </c>
      <c r="BU45" s="70">
        <f t="shared" si="178"/>
        <v>5658.1151994410639</v>
      </c>
      <c r="BV45" s="282">
        <f>SUM(BS45:BU45)</f>
        <v>16974.345598323191</v>
      </c>
      <c r="BW45" s="74"/>
      <c r="BX45" s="70">
        <f t="shared" si="179"/>
        <v>7005.22281788703</v>
      </c>
      <c r="BY45" s="70">
        <f t="shared" si="180"/>
        <v>7005.22281788703</v>
      </c>
      <c r="BZ45" s="70">
        <f t="shared" si="181"/>
        <v>7005.22281788703</v>
      </c>
      <c r="CA45" s="282">
        <f>SUM(BX45:BZ45)</f>
        <v>21015.668453661092</v>
      </c>
      <c r="CB45" s="74"/>
      <c r="CC45" s="70">
        <f t="shared" si="182"/>
        <v>8624.8842428386615</v>
      </c>
      <c r="CD45" s="70">
        <f t="shared" si="183"/>
        <v>8624.8842428386615</v>
      </c>
      <c r="CE45" s="70">
        <f t="shared" si="184"/>
        <v>8624.8842428386615</v>
      </c>
      <c r="CF45" s="282">
        <f>SUM(CC45:CE45)</f>
        <v>25874.652728515983</v>
      </c>
      <c r="CG45" s="88"/>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1" t="s">
        <v>278</v>
      </c>
      <c r="B46" s="363">
        <v>0</v>
      </c>
      <c r="C46" s="305"/>
      <c r="D46" s="116"/>
      <c r="E46" s="357"/>
      <c r="F46" s="130">
        <v>1000</v>
      </c>
      <c r="G46" s="131">
        <f>SUM((IF(ISBLANK(D46),B46,D46)/3)*0.35)</f>
        <v>0</v>
      </c>
      <c r="H46" s="70">
        <f>SUM((IF(ISBLANK(D46),B46,D46)/3)*0.3)</f>
        <v>0</v>
      </c>
      <c r="I46" s="104">
        <f>SUM((IF(ISBLANK(D46),B46,D46)/3)*0.2)</f>
        <v>0</v>
      </c>
      <c r="J46" s="282">
        <f>SUM(F46:I46)*3</f>
        <v>3000</v>
      </c>
      <c r="K46" s="70">
        <f>SUM((IF(ISBLANK(D46),B46,D46)/3)*0.15)</f>
        <v>0</v>
      </c>
      <c r="L46" s="70">
        <v>0</v>
      </c>
      <c r="M46" s="70">
        <v>0</v>
      </c>
      <c r="N46" s="70">
        <v>0</v>
      </c>
      <c r="O46" s="282">
        <f>SUM(K46:N46)*3</f>
        <v>0</v>
      </c>
      <c r="P46" s="70">
        <v>0</v>
      </c>
      <c r="Q46" s="70">
        <v>0</v>
      </c>
      <c r="R46" s="70">
        <v>0</v>
      </c>
      <c r="S46" s="70">
        <v>0</v>
      </c>
      <c r="T46" s="305">
        <f>SUM(P46:S46)*3</f>
        <v>0</v>
      </c>
      <c r="U46" s="281">
        <v>0</v>
      </c>
      <c r="V46" s="282">
        <v>0</v>
      </c>
      <c r="W46" s="283">
        <v>0</v>
      </c>
      <c r="X46" s="177"/>
      <c r="Y46" s="505">
        <v>2000</v>
      </c>
      <c r="Z46" s="70">
        <f t="shared" si="149"/>
        <v>1000</v>
      </c>
      <c r="AA46" s="70">
        <f t="shared" si="150"/>
        <v>1000</v>
      </c>
      <c r="AB46" s="70">
        <f t="shared" si="151"/>
        <v>1000</v>
      </c>
      <c r="AC46" s="282">
        <f>SUM(Z46:AB46)</f>
        <v>3000</v>
      </c>
      <c r="AD46" s="74"/>
      <c r="AE46" s="70">
        <f t="shared" si="152"/>
        <v>0</v>
      </c>
      <c r="AF46" s="70">
        <f t="shared" si="153"/>
        <v>0</v>
      </c>
      <c r="AG46" s="70">
        <f t="shared" si="154"/>
        <v>0</v>
      </c>
      <c r="AH46" s="282">
        <f t="shared" si="135"/>
        <v>0</v>
      </c>
      <c r="AI46" s="74"/>
      <c r="AJ46" s="70">
        <f t="shared" si="155"/>
        <v>0</v>
      </c>
      <c r="AK46" s="70">
        <f t="shared" si="156"/>
        <v>0</v>
      </c>
      <c r="AL46" s="70">
        <f t="shared" si="157"/>
        <v>0</v>
      </c>
      <c r="AM46" s="282">
        <f>SUM(AJ46:AL46)</f>
        <v>0</v>
      </c>
      <c r="AN46" s="74"/>
      <c r="AO46" s="70">
        <f t="shared" si="158"/>
        <v>0</v>
      </c>
      <c r="AP46" s="70">
        <f t="shared" si="159"/>
        <v>0</v>
      </c>
      <c r="AQ46" s="70">
        <f t="shared" si="160"/>
        <v>0</v>
      </c>
      <c r="AR46" s="282">
        <f>SUM(AO46:AQ46)</f>
        <v>0</v>
      </c>
      <c r="AS46" s="74"/>
      <c r="AT46" s="70">
        <f t="shared" si="161"/>
        <v>0</v>
      </c>
      <c r="AU46" s="70">
        <f t="shared" si="162"/>
        <v>0</v>
      </c>
      <c r="AV46" s="70">
        <f t="shared" si="163"/>
        <v>0</v>
      </c>
      <c r="AW46" s="282">
        <f>SUM(AT46:AV46)</f>
        <v>0</v>
      </c>
      <c r="AX46" s="74"/>
      <c r="AY46" s="70">
        <f t="shared" si="164"/>
        <v>0</v>
      </c>
      <c r="AZ46" s="70">
        <f t="shared" si="165"/>
        <v>0</v>
      </c>
      <c r="BA46" s="70">
        <f t="shared" si="166"/>
        <v>0</v>
      </c>
      <c r="BB46" s="282">
        <f>SUM(AY46:BA46)</f>
        <v>0</v>
      </c>
      <c r="BC46" s="74"/>
      <c r="BD46" s="70">
        <f t="shared" si="167"/>
        <v>0</v>
      </c>
      <c r="BE46" s="70">
        <f t="shared" si="168"/>
        <v>0</v>
      </c>
      <c r="BF46" s="70">
        <f t="shared" si="169"/>
        <v>0</v>
      </c>
      <c r="BG46" s="282">
        <f>SUM(BD46:BF46)</f>
        <v>0</v>
      </c>
      <c r="BH46" s="74"/>
      <c r="BI46" s="70">
        <f t="shared" si="170"/>
        <v>0</v>
      </c>
      <c r="BJ46" s="70">
        <f t="shared" si="171"/>
        <v>0</v>
      </c>
      <c r="BK46" s="70">
        <f t="shared" si="172"/>
        <v>0</v>
      </c>
      <c r="BL46" s="282">
        <f>SUM(BI46:BK46)</f>
        <v>0</v>
      </c>
      <c r="BM46" s="74"/>
      <c r="BN46" s="70">
        <f t="shared" si="173"/>
        <v>0</v>
      </c>
      <c r="BO46" s="70">
        <f>P46</f>
        <v>0</v>
      </c>
      <c r="BP46" s="70">
        <f t="shared" si="175"/>
        <v>0</v>
      </c>
      <c r="BQ46" s="282">
        <f>SUM(BN46:BP46)</f>
        <v>0</v>
      </c>
      <c r="BR46" s="74"/>
      <c r="BS46" s="70">
        <f t="shared" si="176"/>
        <v>0</v>
      </c>
      <c r="BT46" s="70">
        <f t="shared" si="177"/>
        <v>0</v>
      </c>
      <c r="BU46" s="70">
        <f t="shared" si="178"/>
        <v>0</v>
      </c>
      <c r="BV46" s="282">
        <f>SUM(BS46:BU46)</f>
        <v>0</v>
      </c>
      <c r="BW46" s="74"/>
      <c r="BX46" s="70">
        <f t="shared" si="179"/>
        <v>0</v>
      </c>
      <c r="BY46" s="70">
        <f t="shared" si="180"/>
        <v>0</v>
      </c>
      <c r="BZ46" s="70">
        <f t="shared" si="181"/>
        <v>0</v>
      </c>
      <c r="CA46" s="282">
        <f>SUM(BX46:BZ46)</f>
        <v>0</v>
      </c>
      <c r="CB46" s="74"/>
      <c r="CC46" s="70">
        <f t="shared" si="182"/>
        <v>0</v>
      </c>
      <c r="CD46" s="70">
        <f t="shared" si="183"/>
        <v>0</v>
      </c>
      <c r="CE46" s="70">
        <f t="shared" si="184"/>
        <v>0</v>
      </c>
      <c r="CF46" s="282">
        <f>SUM(CC46:CE46)</f>
        <v>0</v>
      </c>
      <c r="CG46" s="88"/>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2" t="s">
        <v>207</v>
      </c>
      <c r="B47" s="161"/>
      <c r="C47" s="157"/>
      <c r="D47" s="161"/>
      <c r="E47" s="86"/>
      <c r="F47" s="105">
        <f>AC47</f>
        <v>117680.16978847084</v>
      </c>
      <c r="G47" s="77">
        <f>AH47</f>
        <v>114765.74333626767</v>
      </c>
      <c r="H47" s="77">
        <f>AM47</f>
        <v>59031.47543642854</v>
      </c>
      <c r="I47" s="77">
        <f>AR47</f>
        <v>62283.374281435768</v>
      </c>
      <c r="J47" s="72">
        <f>SUM(F47:I47)</f>
        <v>353760.76284260279</v>
      </c>
      <c r="K47" s="77">
        <f>AW47</f>
        <v>83525.351187596767</v>
      </c>
      <c r="L47" s="77">
        <f>BB47</f>
        <v>89551.503381333867</v>
      </c>
      <c r="M47" s="77">
        <f>BG47</f>
        <v>96635.065611248283</v>
      </c>
      <c r="N47" s="77">
        <f>BL47</f>
        <v>104584.96003791677</v>
      </c>
      <c r="O47" s="72">
        <f>SUM(K47:N47)</f>
        <v>374296.88021809573</v>
      </c>
      <c r="P47" s="77">
        <f>BQ47</f>
        <v>113491.8334626799</v>
      </c>
      <c r="Q47" s="77">
        <f>BV47</f>
        <v>123601.72430305433</v>
      </c>
      <c r="R47" s="77">
        <f>CA47</f>
        <v>152166.59307693047</v>
      </c>
      <c r="S47" s="77">
        <f>CF47</f>
        <v>183210.76178711205</v>
      </c>
      <c r="T47" s="158">
        <f>SUM(P47:S47)</f>
        <v>572470.91262977675</v>
      </c>
      <c r="U47" s="162">
        <f>SUM(U33:U45)</f>
        <v>1101581.6423608179</v>
      </c>
      <c r="V47" s="72">
        <f>SUM(V33:V45)</f>
        <v>2296608.8171600779</v>
      </c>
      <c r="W47" s="89">
        <f>SUM(W33:W45)</f>
        <v>3847810.3456130717</v>
      </c>
      <c r="X47" s="178"/>
      <c r="Y47" s="509">
        <f>SUM(Y33:Y46)</f>
        <v>1083618.2</v>
      </c>
      <c r="Z47" s="77">
        <f>SUM(Z33:Z46)</f>
        <v>39226.723262823616</v>
      </c>
      <c r="AA47" s="77">
        <f>SUM(AA33:AA46)</f>
        <v>39226.723262823616</v>
      </c>
      <c r="AB47" s="77">
        <f>SUM(AB33:AB46)</f>
        <v>39226.723262823616</v>
      </c>
      <c r="AC47" s="72">
        <f>SUM(Z47:AB47)</f>
        <v>117680.16978847084</v>
      </c>
      <c r="AD47" s="72"/>
      <c r="AE47" s="77">
        <f>SUM(AE33:AE46)</f>
        <v>38255.247778755889</v>
      </c>
      <c r="AF47" s="77">
        <f>SUM(AF33:AF46)</f>
        <v>38255.247778755889</v>
      </c>
      <c r="AG47" s="77">
        <f>SUM(AG33:AG46)</f>
        <v>38255.247778755889</v>
      </c>
      <c r="AH47" s="72">
        <f>SUM(AE47:AG47)</f>
        <v>114765.74333626767</v>
      </c>
      <c r="AI47" s="72"/>
      <c r="AJ47" s="77">
        <f>SUM(AJ33:AJ46)</f>
        <v>19677.158478809513</v>
      </c>
      <c r="AK47" s="77">
        <f>SUM(AK33:AK46)</f>
        <v>19677.158478809513</v>
      </c>
      <c r="AL47" s="77">
        <f>SUM(AL33:AL46)</f>
        <v>19677.158478809513</v>
      </c>
      <c r="AM47" s="72">
        <f>SUM(AJ47:AL47)</f>
        <v>59031.47543642854</v>
      </c>
      <c r="AN47" s="72"/>
      <c r="AO47" s="77">
        <f>SUM(AO33:AO46)</f>
        <v>20761.124760478589</v>
      </c>
      <c r="AP47" s="77">
        <f>SUM(AP33:AP46)</f>
        <v>20761.124760478589</v>
      </c>
      <c r="AQ47" s="77">
        <f>SUM(AQ33:AQ46)</f>
        <v>20761.124760478589</v>
      </c>
      <c r="AR47" s="72">
        <f>SUM(AO47:AQ47)</f>
        <v>62283.374281435768</v>
      </c>
      <c r="AS47" s="72"/>
      <c r="AT47" s="77">
        <f>SUM(AT33:AT46)</f>
        <v>27841.783729198924</v>
      </c>
      <c r="AU47" s="77">
        <f>SUM(AU33:AU46)</f>
        <v>27841.783729198924</v>
      </c>
      <c r="AV47" s="77">
        <f>SUM(AV33:AV46)</f>
        <v>27841.783729198924</v>
      </c>
      <c r="AW47" s="72">
        <f>SUM(AT47:AV47)</f>
        <v>83525.351187596767</v>
      </c>
      <c r="AX47" s="72"/>
      <c r="AY47" s="77">
        <f>SUM(AY33:AY46)</f>
        <v>29850.501127111289</v>
      </c>
      <c r="AZ47" s="77">
        <f>SUM(AZ33:AZ46)</f>
        <v>29850.501127111289</v>
      </c>
      <c r="BA47" s="77">
        <f>SUM(BA33:BA46)</f>
        <v>29850.501127111289</v>
      </c>
      <c r="BB47" s="72">
        <f>SUM(AY47:BA47)</f>
        <v>89551.503381333867</v>
      </c>
      <c r="BC47" s="72"/>
      <c r="BD47" s="77">
        <f>SUM(BD33:BD46)</f>
        <v>32211.688537082759</v>
      </c>
      <c r="BE47" s="77">
        <f>SUM(BE33:BE46)</f>
        <v>32211.688537082759</v>
      </c>
      <c r="BF47" s="77">
        <f>SUM(BF33:BF46)</f>
        <v>32211.688537082759</v>
      </c>
      <c r="BG47" s="72">
        <f>SUM(BD47:BF47)</f>
        <v>96635.065611248283</v>
      </c>
      <c r="BH47" s="72"/>
      <c r="BI47" s="77">
        <f>SUM(BI33:BI46)</f>
        <v>34861.653345972256</v>
      </c>
      <c r="BJ47" s="77">
        <f>SUM(BJ33:BJ46)</f>
        <v>34861.653345972256</v>
      </c>
      <c r="BK47" s="77">
        <f>SUM(BK33:BK46)</f>
        <v>34861.653345972256</v>
      </c>
      <c r="BL47" s="72">
        <f>SUM(BI47:BK47)</f>
        <v>104584.96003791677</v>
      </c>
      <c r="BM47" s="72"/>
      <c r="BN47" s="77">
        <f>SUM(BN33:BN46)</f>
        <v>37830.611154226637</v>
      </c>
      <c r="BO47" s="77">
        <f>SUM(BO33:BO46)</f>
        <v>37830.611154226637</v>
      </c>
      <c r="BP47" s="77">
        <f>SUM(BP33:BP46)</f>
        <v>37830.611154226637</v>
      </c>
      <c r="BQ47" s="72">
        <f>SUM(BN47:BP47)</f>
        <v>113491.8334626799</v>
      </c>
      <c r="BR47" s="72"/>
      <c r="BS47" s="77">
        <f>SUM(BS33:BS46)</f>
        <v>41200.574767684775</v>
      </c>
      <c r="BT47" s="77">
        <f>SUM(BT33:BT46)</f>
        <v>41200.574767684775</v>
      </c>
      <c r="BU47" s="77">
        <f>SUM(BU33:BU46)</f>
        <v>41200.574767684775</v>
      </c>
      <c r="BV47" s="72">
        <f>SUM(BS47:BU47)</f>
        <v>123601.72430305433</v>
      </c>
      <c r="BW47" s="72"/>
      <c r="BX47" s="77">
        <f>SUM(BX33:BX46)</f>
        <v>50722.197692310154</v>
      </c>
      <c r="BY47" s="77">
        <f>SUM(BY33:BY46)</f>
        <v>50722.197692310154</v>
      </c>
      <c r="BZ47" s="77">
        <f>SUM(BZ33:BZ46)</f>
        <v>50722.197692310154</v>
      </c>
      <c r="CA47" s="72">
        <f>SUM(BX47:BZ47)</f>
        <v>152166.59307693047</v>
      </c>
      <c r="CB47" s="72"/>
      <c r="CC47" s="77">
        <f>SUM(CC33:CC46)</f>
        <v>61070.253929037353</v>
      </c>
      <c r="CD47" s="77">
        <f>SUM(CD33:CD46)</f>
        <v>61070.253929037353</v>
      </c>
      <c r="CE47" s="77">
        <f>SUM(CE33:CE46)</f>
        <v>61070.253929037353</v>
      </c>
      <c r="CF47" s="72">
        <f>SUM(CC47:CE47)</f>
        <v>183210.76178711205</v>
      </c>
      <c r="CG47" s="89"/>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3"/>
      <c r="B48" s="40"/>
      <c r="C48" s="108"/>
      <c r="D48" s="40"/>
      <c r="E48" s="42"/>
      <c r="F48" s="106"/>
      <c r="G48" s="67"/>
      <c r="H48" s="67"/>
      <c r="I48" s="67"/>
      <c r="J48" s="67"/>
      <c r="K48" s="67"/>
      <c r="L48" s="67"/>
      <c r="M48" s="67"/>
      <c r="N48" s="67"/>
      <c r="O48" s="67"/>
      <c r="P48" s="67"/>
      <c r="Q48" s="67"/>
      <c r="R48" s="67"/>
      <c r="S48" s="67"/>
      <c r="T48" s="159"/>
      <c r="U48" s="163"/>
      <c r="V48" s="67"/>
      <c r="W48" s="68"/>
      <c r="X48" s="167"/>
      <c r="Y48" s="78"/>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80"/>
      <c r="CG48" s="81"/>
    </row>
    <row r="49" spans="1:175" s="9" customFormat="1" ht="15" customHeight="1" thickBot="1" x14ac:dyDescent="0.2">
      <c r="A49" s="132" t="s">
        <v>208</v>
      </c>
      <c r="B49" s="311"/>
      <c r="C49" s="312"/>
      <c r="D49" s="311"/>
      <c r="E49" s="313"/>
      <c r="F49" s="107">
        <f>AC49</f>
        <v>-117680.16978847084</v>
      </c>
      <c r="G49" s="97">
        <f>AH49</f>
        <v>-114765.74333626767</v>
      </c>
      <c r="H49" s="97">
        <f>AM49</f>
        <v>-54249.511341675578</v>
      </c>
      <c r="I49" s="97">
        <f>AR49</f>
        <v>-46128.897683874704</v>
      </c>
      <c r="J49" s="83">
        <f>SUM(F49:I49)</f>
        <v>-332824.32215028879</v>
      </c>
      <c r="K49" s="97">
        <f>AW49</f>
        <v>-57287.510159802208</v>
      </c>
      <c r="L49" s="95">
        <f>BB49</f>
        <v>-51128.63135118912</v>
      </c>
      <c r="M49" s="95">
        <f>BG49</f>
        <v>-44482.444843173238</v>
      </c>
      <c r="N49" s="95">
        <f>BL49</f>
        <v>-37008.570047740955</v>
      </c>
      <c r="O49" s="83">
        <f>SUM(K49:N49)</f>
        <v>-189907.15640190552</v>
      </c>
      <c r="P49" s="95">
        <f>BQ49</f>
        <v>-28620.105471063958</v>
      </c>
      <c r="Q49" s="95">
        <f>BV49</f>
        <v>-18523.38203474888</v>
      </c>
      <c r="R49" s="95">
        <f>CA49</f>
        <v>-22793.329434350569</v>
      </c>
      <c r="S49" s="95">
        <f>CF49</f>
        <v>-24162.563283087336</v>
      </c>
      <c r="T49" s="308">
        <f>SUM(P49:S49)</f>
        <v>-94099.380223250744</v>
      </c>
      <c r="U49" s="309">
        <f>SUM(U30-U47)</f>
        <v>380412.7259859147</v>
      </c>
      <c r="V49" s="83">
        <f>SUM(V30-V47)</f>
        <v>1398301.5952886017</v>
      </c>
      <c r="W49" s="310">
        <f>SUM(W30-W47)</f>
        <v>2887941.0600897139</v>
      </c>
      <c r="X49" s="179"/>
      <c r="Y49" s="510">
        <f>SUM(Y30-Y47)</f>
        <v>-1083618.2</v>
      </c>
      <c r="Z49" s="96">
        <f>Z30-Z47</f>
        <v>-39226.723262823616</v>
      </c>
      <c r="AA49" s="96">
        <f>AA30-AA47</f>
        <v>-39226.723262823616</v>
      </c>
      <c r="AB49" s="96">
        <f>AB30-AB47</f>
        <v>-39226.723262823616</v>
      </c>
      <c r="AC49" s="82">
        <f>AC30-AC47</f>
        <v>-117680.16978847084</v>
      </c>
      <c r="AD49" s="82"/>
      <c r="AE49" s="96">
        <f>AE30-AE47</f>
        <v>-38255.247778755889</v>
      </c>
      <c r="AF49" s="96">
        <f>AF30-AF47</f>
        <v>-38255.247778755889</v>
      </c>
      <c r="AG49" s="96">
        <f>AG30-AG47</f>
        <v>-38255.247778755889</v>
      </c>
      <c r="AH49" s="82">
        <f>AH30-AH47</f>
        <v>-114765.74333626767</v>
      </c>
      <c r="AI49" s="82"/>
      <c r="AJ49" s="96">
        <f>AJ30-AJ47</f>
        <v>-18360.628470568427</v>
      </c>
      <c r="AK49" s="96">
        <f>AK30-AK47</f>
        <v>-18070.965778981939</v>
      </c>
      <c r="AL49" s="96">
        <f>AL30-AL47</f>
        <v>-17817.917092125212</v>
      </c>
      <c r="AM49" s="82">
        <f>AM30-AM47</f>
        <v>-54249.511341675578</v>
      </c>
      <c r="AN49" s="82"/>
      <c r="AO49" s="96">
        <f>AO30-AO47</f>
        <v>-15835.475816623346</v>
      </c>
      <c r="AP49" s="96">
        <f>AP30-AP47</f>
        <v>-15354.546701822455</v>
      </c>
      <c r="AQ49" s="96">
        <f>AQ30-AQ47</f>
        <v>-14938.875165428897</v>
      </c>
      <c r="AR49" s="82">
        <f>AR30-AR47</f>
        <v>-46128.897683874704</v>
      </c>
      <c r="AS49" s="82"/>
      <c r="AT49" s="96">
        <f>AT30-AT47</f>
        <v>-19747.990300755242</v>
      </c>
      <c r="AU49" s="96">
        <f>AU30-AU47</f>
        <v>-19066.002296161714</v>
      </c>
      <c r="AV49" s="96">
        <f>AV30-AV47</f>
        <v>-18473.517562885256</v>
      </c>
      <c r="AW49" s="82">
        <f>AW30-AW47</f>
        <v>-57287.510159802208</v>
      </c>
      <c r="AX49" s="82"/>
      <c r="AY49" s="96">
        <f>AY30-AY47</f>
        <v>-17736.027996258668</v>
      </c>
      <c r="AZ49" s="96">
        <f>AZ30-AZ47</f>
        <v>-17009.87347504884</v>
      </c>
      <c r="BA49" s="96">
        <f>BA30-BA47</f>
        <v>-16382.729879881608</v>
      </c>
      <c r="BB49" s="82">
        <f>BB30-BB47</f>
        <v>-51128.63135118912</v>
      </c>
      <c r="BC49" s="82"/>
      <c r="BD49" s="96">
        <f>BD30-BD47</f>
        <v>-15566.792875547682</v>
      </c>
      <c r="BE49" s="96">
        <f>BE30-BE47</f>
        <v>-14791.463495279539</v>
      </c>
      <c r="BF49" s="96">
        <f>BF30-BF47</f>
        <v>-14124.18847234601</v>
      </c>
      <c r="BG49" s="82">
        <f>BG30-BG47</f>
        <v>-44482.444843173238</v>
      </c>
      <c r="BH49" s="82"/>
      <c r="BI49" s="96">
        <f>BI30-BI47</f>
        <v>-13156.531707490059</v>
      </c>
      <c r="BJ49" s="96">
        <f>BJ30-BJ47</f>
        <v>-12295.639848479783</v>
      </c>
      <c r="BK49" s="96">
        <f>BK30-BK47</f>
        <v>-11556.398491771106</v>
      </c>
      <c r="BL49" s="82">
        <f>BL30-BL47</f>
        <v>-37008.570047740955</v>
      </c>
      <c r="BM49" s="82"/>
      <c r="BN49" s="96">
        <f>BN30-BN47</f>
        <v>-10457.317514981019</v>
      </c>
      <c r="BO49" s="96">
        <f>BO30-BO47</f>
        <v>-9494.0630245490611</v>
      </c>
      <c r="BP49" s="96">
        <f>BP30-BP47</f>
        <v>-8668.724931533885</v>
      </c>
      <c r="BQ49" s="82">
        <f>BQ30-BQ47</f>
        <v>-28620.105471063958</v>
      </c>
      <c r="BR49" s="82"/>
      <c r="BS49" s="96">
        <f>BS30-BS47</f>
        <v>-7342.8485430514047</v>
      </c>
      <c r="BT49" s="96">
        <f>BT30-BT47</f>
        <v>-6117.2165480342737</v>
      </c>
      <c r="BU49" s="96">
        <f>BU30-BU47</f>
        <v>-5063.3169436632015</v>
      </c>
      <c r="BV49" s="82">
        <f>BV30-BV47</f>
        <v>-18523.38203474888</v>
      </c>
      <c r="BW49" s="82"/>
      <c r="BX49" s="96">
        <f>BX30-BX47</f>
        <v>-9109.9895418013693</v>
      </c>
      <c r="BY49" s="96">
        <f>BY30-BY47</f>
        <v>-7526.4688369249925</v>
      </c>
      <c r="BZ49" s="96">
        <f>BZ30-BZ47</f>
        <v>-6156.8710556241931</v>
      </c>
      <c r="CA49" s="82">
        <f>CA30-CA47</f>
        <v>-22793.329434350569</v>
      </c>
      <c r="CB49" s="82"/>
      <c r="CC49" s="96">
        <f>CC30-CC47</f>
        <v>-10041.532164271019</v>
      </c>
      <c r="CD49" s="96">
        <f>CD30-CD47</f>
        <v>-7965.5266604802455</v>
      </c>
      <c r="CE49" s="96">
        <f>CE30-CE47</f>
        <v>-6155.5044583360868</v>
      </c>
      <c r="CF49" s="83">
        <f>CF30-CF47</f>
        <v>-24162.563283087336</v>
      </c>
      <c r="CG49" s="310"/>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15"/>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58"/>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15"/>
      <c r="B54" s="200"/>
      <c r="C54" s="200"/>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53" t="s">
        <v>52</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48"/>
      <c r="E56" s="17"/>
      <c r="F56" s="23"/>
      <c r="G56" s="23"/>
      <c r="H56" s="23"/>
      <c r="I56" s="23"/>
      <c r="J56" s="353" t="s">
        <v>52</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53" t="s">
        <v>52</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53"/>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53"/>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59"/>
      <c r="C60" s="12"/>
      <c r="D60" s="19"/>
      <c r="E60" s="12"/>
      <c r="F60" s="23"/>
      <c r="G60" s="23"/>
      <c r="H60" s="23"/>
      <c r="I60" s="23"/>
      <c r="J60" s="353"/>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59"/>
      <c r="C61" s="12"/>
      <c r="D61" s="19"/>
      <c r="E61" s="12"/>
      <c r="F61" s="23"/>
      <c r="G61" s="23"/>
      <c r="H61" s="23"/>
      <c r="I61" s="23"/>
      <c r="J61" s="353"/>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53" t="s">
        <v>52</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51"/>
      <c r="G63" s="351"/>
      <c r="H63" s="351"/>
      <c r="I63" s="351"/>
      <c r="J63" s="352" t="s">
        <v>52</v>
      </c>
      <c r="K63" s="26"/>
      <c r="L63" s="26"/>
      <c r="M63" s="26"/>
      <c r="N63" s="26"/>
      <c r="O63" s="26"/>
      <c r="P63" s="26"/>
      <c r="Q63" s="26"/>
      <c r="R63" s="26"/>
      <c r="S63" s="26"/>
      <c r="T63" s="26"/>
      <c r="U63" s="26"/>
      <c r="V63" s="26"/>
      <c r="W63" s="26"/>
      <c r="X63" s="26"/>
      <c r="Y63" s="26"/>
      <c r="Z63" s="12"/>
      <c r="AA63" s="13"/>
      <c r="AB63" s="13"/>
      <c r="AC63" s="13"/>
      <c r="AD63" s="111"/>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59"/>
      <c r="C64" s="12"/>
      <c r="D64" s="19"/>
      <c r="E64" s="12"/>
      <c r="F64" s="351"/>
      <c r="G64" s="351"/>
      <c r="H64" s="351"/>
      <c r="I64" s="351"/>
      <c r="J64" s="352"/>
      <c r="K64" s="26"/>
      <c r="L64" s="26"/>
      <c r="M64" s="26"/>
      <c r="N64" s="26"/>
      <c r="O64" s="26"/>
      <c r="P64" s="26"/>
      <c r="Q64" s="26"/>
      <c r="R64" s="26"/>
      <c r="S64" s="26"/>
      <c r="T64" s="26"/>
      <c r="U64" s="26"/>
      <c r="V64" s="26"/>
      <c r="W64" s="26"/>
      <c r="X64" s="26"/>
      <c r="Y64" s="26"/>
      <c r="Z64" s="12"/>
      <c r="AA64" s="13"/>
      <c r="AB64" s="13"/>
      <c r="AC64" s="13"/>
      <c r="AD64" s="111"/>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54" t="s">
        <v>52</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53" t="s">
        <v>52</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53" t="s">
        <v>52</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59"/>
      <c r="C68" s="12"/>
      <c r="D68" s="12"/>
      <c r="E68" s="12"/>
      <c r="F68" s="23"/>
      <c r="G68" s="23"/>
      <c r="H68" s="23"/>
      <c r="I68" s="23"/>
      <c r="J68" s="353"/>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52"/>
      <c r="K69" s="26"/>
      <c r="L69" s="26"/>
      <c r="M69" s="26"/>
      <c r="N69" s="26"/>
      <c r="O69" s="26"/>
      <c r="P69" s="26"/>
      <c r="Q69" s="26"/>
      <c r="R69" s="26"/>
      <c r="S69" s="26"/>
      <c r="T69" s="26"/>
      <c r="U69" s="26"/>
      <c r="V69" s="26"/>
      <c r="W69" s="26"/>
      <c r="X69" s="26"/>
      <c r="Y69" s="26"/>
      <c r="Z69" s="12"/>
      <c r="AA69" s="13"/>
      <c r="AB69" s="13"/>
      <c r="AC69" s="13"/>
      <c r="AD69" s="111"/>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52"/>
      <c r="K70" s="26"/>
      <c r="L70" s="26"/>
      <c r="M70" s="26"/>
      <c r="N70" s="26"/>
      <c r="O70" s="26"/>
      <c r="P70" s="26"/>
      <c r="Q70" s="26"/>
      <c r="R70" s="26"/>
      <c r="S70" s="26"/>
      <c r="T70" s="26"/>
      <c r="U70" s="26"/>
      <c r="V70" s="26"/>
      <c r="W70" s="26"/>
      <c r="X70" s="26"/>
      <c r="Y70" s="26"/>
      <c r="Z70" s="12"/>
      <c r="AA70" s="13"/>
      <c r="AB70" s="13"/>
      <c r="AC70" s="13"/>
      <c r="AD70" s="111"/>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199"/>
      <c r="B71" s="12"/>
      <c r="C71" s="12"/>
      <c r="D71" s="12"/>
      <c r="E71" s="12"/>
      <c r="F71" s="23"/>
      <c r="G71" s="23"/>
      <c r="H71" s="23"/>
      <c r="I71" s="23"/>
      <c r="J71" s="353" t="s">
        <v>52</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01"/>
      <c r="B72" s="14"/>
      <c r="C72" s="14"/>
      <c r="F72" s="27"/>
      <c r="G72" s="27"/>
      <c r="H72" s="27"/>
      <c r="I72" s="27"/>
      <c r="J72" s="354" t="s">
        <v>52</v>
      </c>
      <c r="K72" s="27"/>
      <c r="L72" s="27"/>
      <c r="M72" s="27"/>
      <c r="N72" s="27"/>
      <c r="O72" s="27"/>
      <c r="P72" s="27"/>
      <c r="Q72" s="27"/>
      <c r="R72" s="27"/>
      <c r="S72" s="27"/>
      <c r="T72" s="27"/>
      <c r="U72" s="27"/>
      <c r="V72" s="27"/>
      <c r="W72" s="27"/>
      <c r="X72" s="27"/>
      <c r="Y72" s="27"/>
    </row>
    <row r="73" spans="1:85" x14ac:dyDescent="0.2">
      <c r="A73" s="12"/>
      <c r="B73" s="12"/>
      <c r="C73" s="200"/>
      <c r="D73" s="8"/>
      <c r="E73" s="8"/>
      <c r="F73" s="27"/>
      <c r="G73" s="27"/>
      <c r="H73" s="27"/>
      <c r="I73" s="27"/>
      <c r="J73" s="354" t="s">
        <v>52</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54" t="s">
        <v>52</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54"/>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53" t="s">
        <v>52</v>
      </c>
      <c r="K76" s="28"/>
      <c r="L76" s="28"/>
      <c r="M76" s="28"/>
      <c r="N76" s="28"/>
      <c r="O76" s="28"/>
      <c r="P76" s="28"/>
      <c r="Q76" s="28"/>
      <c r="R76" s="28"/>
      <c r="S76" s="28"/>
      <c r="T76" s="28"/>
      <c r="U76" s="28"/>
      <c r="V76" s="28"/>
      <c r="W76" s="28"/>
      <c r="X76" s="28"/>
      <c r="Y76" s="28"/>
    </row>
    <row r="77" spans="1:85" s="9" customFormat="1" ht="11.25" customHeight="1" x14ac:dyDescent="0.15">
      <c r="A77" s="199"/>
      <c r="B77" s="12"/>
      <c r="C77" s="12"/>
      <c r="D77" s="12"/>
      <c r="E77" s="12"/>
      <c r="F77" s="24"/>
      <c r="G77" s="24"/>
      <c r="H77" s="24"/>
      <c r="I77" s="24"/>
      <c r="J77" s="353" t="s">
        <v>52</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52" t="s">
        <v>52</v>
      </c>
      <c r="K78" s="27"/>
      <c r="L78" s="27"/>
      <c r="M78" s="27"/>
      <c r="N78" s="27"/>
      <c r="O78" s="27"/>
      <c r="P78" s="27"/>
      <c r="Q78" s="27"/>
      <c r="R78" s="27"/>
      <c r="S78" s="27"/>
      <c r="T78" s="27"/>
      <c r="U78" s="27"/>
      <c r="V78" s="27"/>
      <c r="W78" s="27"/>
      <c r="X78" s="27"/>
      <c r="Y78" s="27"/>
    </row>
    <row r="79" spans="1:85" x14ac:dyDescent="0.2">
      <c r="F79" s="27"/>
      <c r="G79" s="27"/>
      <c r="H79" s="27"/>
      <c r="I79" s="27"/>
      <c r="J79" s="353" t="s">
        <v>52</v>
      </c>
      <c r="K79" s="27"/>
      <c r="L79" s="27"/>
      <c r="M79" s="27"/>
      <c r="N79" s="27"/>
      <c r="O79" s="27"/>
      <c r="P79" s="27"/>
      <c r="Q79" s="27"/>
      <c r="R79" s="27"/>
      <c r="S79" s="27"/>
      <c r="T79" s="27"/>
      <c r="U79" s="27"/>
      <c r="V79" s="27"/>
      <c r="W79" s="27"/>
      <c r="X79" s="27"/>
      <c r="Y79" s="27"/>
    </row>
    <row r="80" spans="1:85" x14ac:dyDescent="0.2">
      <c r="F80" s="29"/>
      <c r="G80" s="29"/>
      <c r="H80" s="29"/>
      <c r="I80" s="29"/>
      <c r="J80" s="353" t="s">
        <v>52</v>
      </c>
      <c r="K80" s="29"/>
      <c r="L80" s="29"/>
      <c r="M80" s="29"/>
      <c r="N80" s="29"/>
      <c r="O80" s="29"/>
      <c r="P80" s="29"/>
      <c r="Q80" s="29"/>
      <c r="R80" s="29"/>
      <c r="S80" s="29"/>
      <c r="T80" s="29"/>
      <c r="U80" s="29"/>
      <c r="V80" s="29"/>
      <c r="W80" s="29"/>
      <c r="X80" s="29"/>
      <c r="Y80" s="29"/>
    </row>
    <row r="81" spans="1:25" x14ac:dyDescent="0.2">
      <c r="F81" s="27"/>
      <c r="G81" s="27"/>
      <c r="H81" s="27"/>
      <c r="I81" s="27"/>
      <c r="J81" s="353" t="s">
        <v>52</v>
      </c>
      <c r="K81" s="27"/>
      <c r="L81" s="27"/>
      <c r="M81" s="27"/>
      <c r="N81" s="27"/>
      <c r="O81" s="27"/>
      <c r="P81" s="27"/>
      <c r="Q81" s="27"/>
      <c r="R81" s="27"/>
      <c r="S81" s="27"/>
      <c r="T81" s="27"/>
      <c r="U81" s="27"/>
      <c r="V81" s="27"/>
      <c r="W81" s="27"/>
      <c r="X81" s="27"/>
      <c r="Y81" s="27"/>
    </row>
    <row r="82" spans="1:25" x14ac:dyDescent="0.2">
      <c r="J82" s="353" t="s">
        <v>52</v>
      </c>
    </row>
    <row r="83" spans="1:25" x14ac:dyDescent="0.2">
      <c r="J83" s="353" t="s">
        <v>52</v>
      </c>
    </row>
    <row r="84" spans="1:25" x14ac:dyDescent="0.2">
      <c r="C84" s="3" t="s">
        <v>225</v>
      </c>
      <c r="J84" s="352" t="s">
        <v>52</v>
      </c>
      <c r="M84" s="3" t="s">
        <v>226</v>
      </c>
    </row>
    <row r="85" spans="1:25" x14ac:dyDescent="0.2">
      <c r="J85" s="353" t="s">
        <v>52</v>
      </c>
    </row>
    <row r="86" spans="1:25" x14ac:dyDescent="0.2">
      <c r="J86" s="353" t="s">
        <v>52</v>
      </c>
    </row>
    <row r="87" spans="1:25" x14ac:dyDescent="0.2">
      <c r="J87" s="353" t="s">
        <v>52</v>
      </c>
    </row>
    <row r="88" spans="1:25" x14ac:dyDescent="0.2">
      <c r="A88" s="3"/>
      <c r="D88" s="3"/>
      <c r="E88" s="3"/>
      <c r="J88" s="353" t="s">
        <v>52</v>
      </c>
    </row>
    <row r="89" spans="1:25" x14ac:dyDescent="0.2">
      <c r="J89" s="353" t="s">
        <v>52</v>
      </c>
    </row>
    <row r="90" spans="1:25" x14ac:dyDescent="0.2">
      <c r="J90" s="353" t="s">
        <v>52</v>
      </c>
    </row>
    <row r="91" spans="1:25" x14ac:dyDescent="0.2">
      <c r="J91" s="353" t="s">
        <v>52</v>
      </c>
    </row>
    <row r="92" spans="1:25" x14ac:dyDescent="0.2">
      <c r="J92" s="353" t="s">
        <v>52</v>
      </c>
    </row>
    <row r="93" spans="1:25" x14ac:dyDescent="0.2">
      <c r="J93" s="353" t="s">
        <v>52</v>
      </c>
    </row>
    <row r="94" spans="1:25" x14ac:dyDescent="0.2">
      <c r="F94" s="3"/>
      <c r="G94" s="3"/>
      <c r="H94" s="3"/>
      <c r="I94" s="3"/>
      <c r="J94" s="354" t="s">
        <v>52</v>
      </c>
      <c r="K94" s="3"/>
      <c r="L94" s="3"/>
      <c r="M94" s="3"/>
      <c r="N94" s="3"/>
      <c r="O94" s="3"/>
      <c r="P94" s="3"/>
      <c r="Q94" s="3"/>
      <c r="R94" s="3"/>
      <c r="S94" s="3"/>
      <c r="T94" s="3"/>
      <c r="U94" s="3"/>
      <c r="V94" s="3"/>
      <c r="W94" s="3"/>
      <c r="X94" s="4"/>
      <c r="Y94" s="3"/>
    </row>
    <row r="95" spans="1:25" x14ac:dyDescent="0.2">
      <c r="J95" s="354" t="s">
        <v>52</v>
      </c>
    </row>
    <row r="96" spans="1:25" x14ac:dyDescent="0.2">
      <c r="J96" s="354"/>
    </row>
    <row r="97" spans="3:28" x14ac:dyDescent="0.2">
      <c r="J97" s="354"/>
    </row>
    <row r="104" spans="3:28" ht="15" x14ac:dyDescent="0.25">
      <c r="D104" s="133"/>
      <c r="E104" s="133"/>
      <c r="F104" s="134"/>
      <c r="G104" s="135"/>
      <c r="H104" s="134"/>
      <c r="I104" s="133"/>
      <c r="J104" s="134"/>
      <c r="K104" s="133"/>
      <c r="L104" s="134"/>
      <c r="M104" s="133"/>
      <c r="N104" s="134"/>
      <c r="O104" s="133"/>
      <c r="P104" s="134"/>
      <c r="Q104"/>
      <c r="R104"/>
      <c r="S104"/>
      <c r="T104"/>
      <c r="U104"/>
      <c r="V104"/>
      <c r="W104"/>
      <c r="X104" s="166"/>
      <c r="Y104"/>
      <c r="Z104"/>
      <c r="AA104"/>
      <c r="AB104"/>
    </row>
    <row r="112" spans="3:28" x14ac:dyDescent="0.2">
      <c r="C112" s="3" t="s">
        <v>231</v>
      </c>
      <c r="M112" s="3"/>
    </row>
    <row r="178" spans="12:12" x14ac:dyDescent="0.2">
      <c r="L178" s="3" t="s">
        <v>236</v>
      </c>
    </row>
  </sheetData>
  <mergeCells count="12">
    <mergeCell ref="U2:W2"/>
    <mergeCell ref="D4:E4"/>
    <mergeCell ref="D29:E29"/>
    <mergeCell ref="A1:A2"/>
    <mergeCell ref="B1:C1"/>
    <mergeCell ref="D1:E1"/>
    <mergeCell ref="F1:I1"/>
    <mergeCell ref="K1:N1"/>
    <mergeCell ref="P1:S1"/>
    <mergeCell ref="B2:C2"/>
    <mergeCell ref="D2:E2"/>
    <mergeCell ref="B29:C29"/>
  </mergeCells>
  <conditionalFormatting sqref="F49:I49 K49:N49 P49:S49 Z49:AB49 AE49:AG49 AJ49:AL49 AO49:AQ49 AY49:BA49 BD49:BF49 BI49:BK49 BN49:BP49 BS49:BU49 BX49:BZ49 CC49:CE49">
    <cfRule type="cellIs" dxfId="17" priority="5" operator="lessThan">
      <formula>0</formula>
    </cfRule>
    <cfRule type="cellIs" dxfId="16" priority="6" operator="greaterThan">
      <formula>0</formula>
    </cfRule>
  </conditionalFormatting>
  <conditionalFormatting sqref="F49:I49 K49:N49 P49:S49 Z49:AB49 AE49:AG49 AJ49:AL49 AO49:AQ49 AY49:BA49 BD49:BF49 BI49:BK49 BN49:BP49 BS49:BU49 BX49:BZ49 CC49:CE49 AT49:AV49">
    <cfRule type="cellIs" dxfId="15" priority="3" operator="lessThan">
      <formula>0</formula>
    </cfRule>
    <cfRule type="cellIs" dxfId="14" priority="4" operator="greaterThan">
      <formula>0</formula>
    </cfRule>
  </conditionalFormatting>
  <conditionalFormatting sqref="U49:W49">
    <cfRule type="cellIs" dxfId="13" priority="1" operator="lessThan">
      <formula>0</formula>
    </cfRule>
    <cfRule type="cellIs" dxfId="12"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Your Estimation</vt:lpstr>
      <vt:lpstr>Links to Statistics</vt:lpstr>
      <vt:lpstr>Result of your Estimation</vt:lpstr>
      <vt:lpstr>Short Version Realistic</vt:lpstr>
      <vt:lpstr>Realistic</vt:lpstr>
      <vt:lpstr>Comparision successful Networks</vt:lpstr>
      <vt:lpstr>Cautious</vt:lpstr>
      <vt:lpstr>Optimistic</vt:lpstr>
      <vt:lpstr>Pessimistic</vt:lpstr>
      <vt:lpstr>Worst Case</vt:lpstr>
      <vt:lpstr>Possible+</vt:lpstr>
    </vt:vector>
  </TitlesOfParts>
  <Company>imakomm AKADEMIE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Vorlage Liquiditätsplanung</dc:title>
  <dc:creator>Peter Markert</dc:creator>
  <cp:lastModifiedBy>Michael Schöggl</cp:lastModifiedBy>
  <cp:lastPrinted>2005-01-25T17:37:30Z</cp:lastPrinted>
  <dcterms:created xsi:type="dcterms:W3CDTF">2005-01-25T17:26:58Z</dcterms:created>
  <dcterms:modified xsi:type="dcterms:W3CDTF">2019-04-17T14:21:05Z</dcterms:modified>
</cp:coreProperties>
</file>